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18"/>
  <workbookPr codeName="ThisWorkbook"/>
  <mc:AlternateContent xmlns:mc="http://schemas.openxmlformats.org/markup-compatibility/2006">
    <mc:Choice Requires="x15">
      <x15ac:absPath xmlns:x15ac="http://schemas.microsoft.com/office/spreadsheetml/2010/11/ac" url="N:\Areas\Operations\Loans\Servicing Calculators\Personal Loans\"/>
    </mc:Choice>
  </mc:AlternateContent>
  <xr:revisionPtr revIDLastSave="0" documentId="13_ncr:1_{D56DB654-7395-4FDD-8386-A1F99D35651A}" xr6:coauthVersionLast="47" xr6:coauthVersionMax="47" xr10:uidLastSave="{00000000-0000-0000-0000-000000000000}"/>
  <workbookProtection workbookAlgorithmName="SHA-512" workbookHashValue="auUV7EE3Fyrd0qdUCd0NmD6EmGPeWgjZldLUN4cyLPKh/GaSPbZxSHPJE2ebOP1BPaVdW+kPcmyEUl/yw/NY4Q==" workbookSaltValue="URbqpcz4iK7nIBvBB2T1HA==" workbookSpinCount="100000" lockStructure="1"/>
  <bookViews>
    <workbookView xWindow="28680" yWindow="-120" windowWidth="29040" windowHeight="17520" tabRatio="832" firstSheet="1" activeTab="1" xr2:uid="{00000000-000D-0000-FFFF-FFFF00000000}"/>
  </bookViews>
  <sheets>
    <sheet name="Help" sheetId="4" r:id="rId1"/>
    <sheet name="Main" sheetId="1" r:id="rId2"/>
    <sheet name="PrintCopy" sheetId="9"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Main!$D$29</definedName>
    <definedName name="Appl_Annual_Income_inc_Overtime_2">Main!$D$30</definedName>
    <definedName name="Appl_Annual_Income_inc_Overtime_3">Main!$D$31</definedName>
    <definedName name="Appl_Annual_Income_inc_Overtime_4">Main!$D$32</definedName>
    <definedName name="Appl_Annual_Income_inc_Overtime_5">Main!$D$33</definedName>
    <definedName name="Appl_Annual_Income_inc_Overtime_6">Main!$D$34</definedName>
    <definedName name="Applicable_Living_Expenses" localSheetId="2">PrintCopy!$E$45</definedName>
    <definedName name="Applicable_Living_Expenses">Main!$E$45</definedName>
    <definedName name="Applicant_Name" localSheetId="2">PrintCopy!$B$4</definedName>
    <definedName name="Applicant_Name">Main!$B$4</definedName>
    <definedName name="Applicant_Type">CalculationsReference!$B$51:$S$51</definedName>
    <definedName name="Applicant1_GAIncome">CalculationsReference!$B$23</definedName>
    <definedName name="Applicant1_GARental" localSheetId="2">PrintCopy!$F$29</definedName>
    <definedName name="Applicant1_GARental">Main!$F$29</definedName>
    <definedName name="Applicant1_GIncome" localSheetId="2">PrintCopy!$B$29</definedName>
    <definedName name="Applicant1_GIncome">Main!$B$29</definedName>
    <definedName name="Applicant1_IncFreq" localSheetId="2">PrintCopy!$C$29</definedName>
    <definedName name="Applicant1_IncFreq">Main!$C$29</definedName>
    <definedName name="Applicant2_GAIncome">CalculationsReference!$C$23</definedName>
    <definedName name="Applicant2_GARental" localSheetId="2">PrintCopy!$F$30</definedName>
    <definedName name="Applicant2_GARental">Main!$F$30</definedName>
    <definedName name="Applicant2_GIncome" localSheetId="2">PrintCopy!$B$30</definedName>
    <definedName name="Applicant2_GIncome">Main!$B$30</definedName>
    <definedName name="Applicant2_IncFreq" localSheetId="2">PrintCopy!$C$30</definedName>
    <definedName name="Applicant2_IncFreq">Main!$C$30</definedName>
    <definedName name="Applicant3_GAIncome">CalculationsReference!$D$23</definedName>
    <definedName name="Applicant3_GARental" localSheetId="2">PrintCopy!$F$31</definedName>
    <definedName name="Applicant3_GARental">Main!$F$31</definedName>
    <definedName name="Applicant3_GIncome" localSheetId="2">PrintCopy!$B$31</definedName>
    <definedName name="Applicant3_GIncome">Main!$B$31</definedName>
    <definedName name="Applicant3_IncFreq" localSheetId="2">PrintCopy!$C$31</definedName>
    <definedName name="Applicant3_IncFreq">Main!$C$31</definedName>
    <definedName name="Applicant4_GAIncome">CalculationsReference!$E$23</definedName>
    <definedName name="Applicant4_GARental" localSheetId="2">PrintCopy!$F$32</definedName>
    <definedName name="Applicant4_GARental">Main!$F$32</definedName>
    <definedName name="Applicant4_GIncome" localSheetId="2">PrintCopy!$B$32</definedName>
    <definedName name="Applicant4_GIncome">Main!$B$32</definedName>
    <definedName name="Applicant4_IncFreq" localSheetId="2">PrintCopy!$C$32</definedName>
    <definedName name="Applicant4_IncFreq">Main!$C$32</definedName>
    <definedName name="Applicant5_GAIncome">CalculationsReference!$F$23</definedName>
    <definedName name="Applicant5_GARental" localSheetId="2">PrintCopy!$F$33</definedName>
    <definedName name="Applicant5_GARental">Main!$F$33</definedName>
    <definedName name="Applicant5_GIncome" localSheetId="2">PrintCopy!$B$33</definedName>
    <definedName name="Applicant5_GIncome">Main!$B$33</definedName>
    <definedName name="Applicant5_IncFreq" localSheetId="2">PrintCopy!$C$33</definedName>
    <definedName name="Applicant5_IncFreq">Main!$C$33</definedName>
    <definedName name="Applicant6_GAIncome">CalculationsReference!$G$23</definedName>
    <definedName name="Applicant6_GARental" localSheetId="2">PrintCopy!$F$34</definedName>
    <definedName name="Applicant6_GARental">Main!$F$34</definedName>
    <definedName name="Applicant6_GIncome" localSheetId="2">PrintCopy!$B$34</definedName>
    <definedName name="Applicant6_GIncome">Main!$B$34</definedName>
    <definedName name="Applicant6_IncFreq" localSheetId="2">PrintCopy!$C$34</definedName>
    <definedName name="Applicant6_IncFreq">Main!$C$34</definedName>
    <definedName name="APRA_Mortgage_INV_Months" comment="The period in months required by APRA to be used in calculating Other Investment Mortgage repayments">HiddenReference!$C$14</definedName>
    <definedName name="APRA_Mortgage_OO_Months" comment="The period in months required by APRA to be used in calculating Other Owner Occupied Mortgage repayments">HiddenReference!$C$13</definedName>
    <definedName name="APRA_Mortgage_Rate" comment="Minimum APRA interest rate used in calculating Other Mortgage repayments">HiddenReference!$C$12</definedName>
    <definedName name="ARA">HiddenReference!$C$45</definedName>
    <definedName name="ARA_MONTHLY">HiddenReference!$C$46</definedName>
    <definedName name="ARA_Test_Result">HiddenReference!$C$47</definedName>
    <definedName name="Blank_Value">HiddenReference!$C$43</definedName>
    <definedName name="Borrower_Type_Selected" localSheetId="2">PrintCopy!$B$6</definedName>
    <definedName name="Borrower_Type_Selected">Main!$B$6</definedName>
    <definedName name="CalcsRefPage">CalculationsReference!$A$1:$I$42</definedName>
    <definedName name="Calculated_Living_Expense_Table">CalculationsReference!$B$52:$S$68</definedName>
    <definedName name="Calculated_Living_Expenses">HiddenReference!$C$19</definedName>
    <definedName name="CalculatorMainPage" localSheetId="2">PrintCopy!$A$1:$I$53</definedName>
    <definedName name="CalculatorMainPage">Main!$A$1:$I$53</definedName>
    <definedName name="CalculatorPrintPage" localSheetId="2">#REF!</definedName>
    <definedName name="CalculatorPrintPage">#REF!</definedName>
    <definedName name="Company_Business_Depreciation_Amount" localSheetId="2">PrintCopy!$I$39</definedName>
    <definedName name="Company_Business_Depreciation_Amount">Main!$I$39</definedName>
    <definedName name="Company_NPBT_GAIncome" localSheetId="2">PrintCopy!$E$38</definedName>
    <definedName name="Company_NPBT_GAIncome">Main!$E$38</definedName>
    <definedName name="Company_NPBT_GAIncomeMRY" localSheetId="2">PrintCopy!$E$36</definedName>
    <definedName name="Company_NPBT_GAIncomeMRY">Main!$E$36</definedName>
    <definedName name="Company_NPBT_GAIncomePY" localSheetId="2">PrintCopy!$E$37</definedName>
    <definedName name="Company_NPBT_GAIncomePY">Main!$E$37</definedName>
    <definedName name="Company_NPBT_GARental" localSheetId="2">PrintCopy!$F$36</definedName>
    <definedName name="Company_NPBT_GARental">Main!$F$36</definedName>
    <definedName name="CompanyRentalAllowance">HiddenReference!$G$10</definedName>
    <definedName name="CompanyTaxRate">HiddenReference!$C$9</definedName>
    <definedName name="Credit_Card_Brand">CalculationsReference!$C$13:$D$13</definedName>
    <definedName name="Credit_Card_Brand_Choice">Main!$D$9</definedName>
    <definedName name="Credit_Card_Limit">Main!$B$9</definedName>
    <definedName name="Credit_Card_Monthly_Payment">CalculationsReference!$E$11</definedName>
    <definedName name="Credit_Card_Monthly_Payment_Percent">CalculationsReference!$C$14</definedName>
    <definedName name="Credit_Card_Monthly_Payment_Percent_Amigo">CalculationsReference!$D$14</definedName>
    <definedName name="Credit_Card_Monthly_Payment_Percent_OtherBanks">CalculationsReference!$E$14</definedName>
    <definedName name="Credit_Card_Monthly_Percent">HiddenReference!$C$20</definedName>
    <definedName name="Credit_Card_Monthly_Percent_Amigo">HiddenReference!$C$21</definedName>
    <definedName name="Credit_Card_Monthly_Percent_OtherBanks">HiddenReference!$C$22</definedName>
    <definedName name="Dependent_Children" localSheetId="2">PrintCopy!#REF!</definedName>
    <definedName name="Dependent_Children">Main!#REF!</definedName>
    <definedName name="Error_Count">HiddenReference!$B$52</definedName>
    <definedName name="Error_Table">HiddenReference!$B$53:$I$53</definedName>
    <definedName name="Family_Paymants_Amount" localSheetId="2">PrintCopy!$I$39</definedName>
    <definedName name="Family_Paymants_Amount">Main!$I$39</definedName>
    <definedName name="Family_Payments_Amount" localSheetId="2">PrintCopy!$B$35</definedName>
    <definedName name="Family_Payments_Amount">Main!$B$35</definedName>
    <definedName name="Gross_Annual_Income">Main!$E$40</definedName>
    <definedName name="Gross_Annual_Income_Bands">CalculationsReference!$A$52:$A$68</definedName>
    <definedName name="HelpTextPage">Help!$A$1:$F$103</definedName>
    <definedName name="LC1Adult">HiddenReference!$C$16</definedName>
    <definedName name="LCAddChild">HiddenReference!$C$18</definedName>
    <definedName name="LCCouple">HiddenReference!$C$17</definedName>
    <definedName name="Living_Exp_for_ARA">Main!$J$45</definedName>
    <definedName name="Living_Expenses">CalculationsReference!$A$46</definedName>
    <definedName name="Living_Expenses_Override" localSheetId="2">PrintCopy!$E$44</definedName>
    <definedName name="Living_Expenses_Override">Main!$E$44</definedName>
    <definedName name="Loan_Amount" localSheetId="2">PrintCopy!$B$10</definedName>
    <definedName name="Loan_Amount">Main!$B$10</definedName>
    <definedName name="Loan_Interest_Rate" localSheetId="2">PrintCopy!$B$11</definedName>
    <definedName name="Loan_Interest_Rate">Main!$B$11</definedName>
    <definedName name="Loan_Investment" localSheetId="2">PrintCopy!$B$8</definedName>
    <definedName name="Loan_Investment">Main!$B$8</definedName>
    <definedName name="Loan_Owner_Occupied" localSheetId="2">PrintCopy!$B$7</definedName>
    <definedName name="Loan_Owner_Occupied">Main!$B$7</definedName>
    <definedName name="LOAN_TERM_MONTHS">Main!$B$12</definedName>
    <definedName name="Loan_Term_Years" localSheetId="2">PrintCopy!$B$13</definedName>
    <definedName name="Loan_Term_Years">Main!$B$13</definedName>
    <definedName name="Maximum_Loan_Amount_Text">HiddenReference!$C$51</definedName>
    <definedName name="MaximumLoanAmount">HiddenReference!$C$41</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Main!$F$53</definedName>
    <definedName name="NSR_Rate_Monthly_Payment">CalculationsReference!$G$11</definedName>
    <definedName name="NSR_Test_Result">HiddenReference!$C$33</definedName>
    <definedName name="NSRCalculated">HiddenReference!$C$29</definedName>
    <definedName name="NSRCalculatedFormatted">HiddenReference!$C$30</definedName>
    <definedName name="NSRInterestRate">HiddenReference!$C$24</definedName>
    <definedName name="NSRRequired">HiddenReference!$C$31</definedName>
    <definedName name="NSRRequiredFormatted">HiddenReference!$C$32</definedName>
    <definedName name="Other_Commits_Amount" localSheetId="2">PrintCopy!$G$24</definedName>
    <definedName name="Other_Commits_Amount">Main!$G$24</definedName>
    <definedName name="Other_Commits_Payment" localSheetId="2">PrintCopy!$H$24</definedName>
    <definedName name="Other_Commits_Payment">Main!$H$24</definedName>
    <definedName name="Other_Commits_Specify" localSheetId="2">PrintCopy!$E$24</definedName>
    <definedName name="Other_Commits_Specify">Main!$E$24</definedName>
    <definedName name="Other_Commits_Total_Annual" localSheetId="2">PrintCopy!$F$50</definedName>
    <definedName name="Other_Commits_Total_Annual">Main!$F$50</definedName>
    <definedName name="Other_Commits_Total_Monthly_Payment" localSheetId="2">PrintCopy!$H$26</definedName>
    <definedName name="Other_Commits_Total_Monthly_Payment">Main!$H$26</definedName>
    <definedName name="Other_CreditCard_Limits" localSheetId="2">PrintCopy!$G$20</definedName>
    <definedName name="Other_CreditCard_Limits">Main!$G$20</definedName>
    <definedName name="Other_Loans_Inv_Amount" localSheetId="2">PrintCopy!$G$19</definedName>
    <definedName name="Other_Loans_Inv_Amount">Main!$G$19</definedName>
    <definedName name="Other_Loans_Inv_Payment" localSheetId="2">PrintCopy!$H$19</definedName>
    <definedName name="Other_Loans_Inv_Payment">Main!$H$19</definedName>
    <definedName name="Other_Loans_OO_Amount" localSheetId="2">PrintCopy!$G$18</definedName>
    <definedName name="Other_Loans_OO_Amount">Main!$G$18</definedName>
    <definedName name="Other_Loans_OO_Payment" localSheetId="2">PrintCopy!$H$18</definedName>
    <definedName name="Other_Loans_OO_Payment">Main!$H$18</definedName>
    <definedName name="Other_Loans_Payment" localSheetId="2">PrintCopy!$H$19</definedName>
    <definedName name="Other_Loans_Payment">Main!$H$19</definedName>
    <definedName name="Other_Mtg_Inv_LoanTerm">HiddenReference!$F$14:$J$14</definedName>
    <definedName name="Other_Mtg_OO_LoanTerm">HiddenReference!$F$13:$K$13</definedName>
    <definedName name="Overtime_Haircut">HiddenReference!$C$11</definedName>
    <definedName name="Payment_Frequency">CalculationsReference!$H$3:$H$8</definedName>
    <definedName name="Payment_Frequency_Multiples">CalculationsReference!$H$3:$I$7</definedName>
    <definedName name="_xlnm.Print_Area" localSheetId="3">CalculationsReference!$A$1:$I$42</definedName>
    <definedName name="_xlnm.Print_Area" localSheetId="0">Help!$A$1:$F$106</definedName>
    <definedName name="_xlnm.Print_Area" localSheetId="4">HiddenReference!$A$1:$C$42</definedName>
    <definedName name="_xlnm.Print_Area" localSheetId="1">Main!$A$1:$K$56</definedName>
    <definedName name="_xlnm.Print_Area" localSheetId="2">PrintCopy!$A$1:$K$56</definedName>
    <definedName name="Proposed_Loan_Monthly_Payment">CalculationsReference!$C$11</definedName>
    <definedName name="Rental_Allowance_Factor">CalculationsReference!$C$15</definedName>
    <definedName name="RentalAllowance">HiddenReference!$C$10</definedName>
    <definedName name="Secured_Credit_Monthly_Percent">HiddenReference!$C$23</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HiddenReference!$C$29</definedName>
    <definedName name="solver_opt" localSheetId="2" hidden="1">HiddenReference!$C$29</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Main!$F$51</definedName>
    <definedName name="Total_Gross_Annual_Income">Main!$G$40</definedName>
    <definedName name="Total_Net_Annual_Income" localSheetId="2">PrintCopy!$I$40</definedName>
    <definedName name="Total_Net_Annual_Income">Main!$I$40</definedName>
    <definedName name="Zero_Value">HiddenReference!$C$44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A53" i="3"/>
  <c r="A52" i="3"/>
  <c r="H15" i="11" l="1"/>
  <c r="E38" i="1" l="1"/>
  <c r="B33" i="9" l="1"/>
  <c r="O15" i="11" l="1"/>
  <c r="O17" i="11" s="1"/>
  <c r="N15" i="11"/>
  <c r="N17" i="11" s="1"/>
  <c r="M15" i="11"/>
  <c r="M17" i="11" s="1"/>
  <c r="L15" i="11"/>
  <c r="L17" i="11" s="1"/>
  <c r="K15" i="11"/>
  <c r="K17" i="11" s="1"/>
  <c r="J15" i="11"/>
  <c r="J17" i="11" s="1"/>
  <c r="I15" i="11"/>
  <c r="I17" i="11" s="1"/>
  <c r="H17" i="11"/>
  <c r="G15" i="11"/>
  <c r="G17" i="11" s="1"/>
  <c r="F15" i="11"/>
  <c r="F17" i="11" s="1"/>
  <c r="E15" i="11"/>
  <c r="E17" i="11" s="1"/>
  <c r="D15" i="11"/>
  <c r="D17" i="11" s="1"/>
  <c r="C15" i="11"/>
  <c r="C17" i="11" s="1"/>
  <c r="B15" i="11"/>
  <c r="B17" i="11" s="1"/>
  <c r="D9" i="9"/>
  <c r="E11" i="3"/>
  <c r="B6" i="9"/>
  <c r="G23" i="9"/>
  <c r="G22" i="9"/>
  <c r="G21" i="9"/>
  <c r="I23" i="1"/>
  <c r="I18" i="1"/>
  <c r="E14" i="3"/>
  <c r="I22" i="1" s="1"/>
  <c r="D14" i="3"/>
  <c r="H21" i="1" s="1"/>
  <c r="H21" i="9" s="1"/>
  <c r="C14" i="3"/>
  <c r="I20" i="1" s="1"/>
  <c r="B52" i="3"/>
  <c r="B53" i="3"/>
  <c r="B54" i="3"/>
  <c r="B55" i="3"/>
  <c r="B56" i="3"/>
  <c r="B57" i="3"/>
  <c r="B58" i="3"/>
  <c r="B59" i="3"/>
  <c r="B60" i="3"/>
  <c r="B61" i="3"/>
  <c r="B62" i="3"/>
  <c r="B63" i="3"/>
  <c r="B64" i="3"/>
  <c r="B65" i="3"/>
  <c r="B66" i="3"/>
  <c r="B67" i="3"/>
  <c r="B68" i="3"/>
  <c r="I4" i="3"/>
  <c r="I3" i="3"/>
  <c r="H23" i="1"/>
  <c r="H23" i="9" s="1"/>
  <c r="H22" i="1" l="1"/>
  <c r="H22" i="9" s="1"/>
  <c r="I21" i="1"/>
  <c r="B53" i="2"/>
  <c r="H24" i="3"/>
  <c r="H15" i="3"/>
  <c r="F1" i="4"/>
  <c r="P65" i="3" l="1"/>
  <c r="Q65" i="3"/>
  <c r="R65" i="3"/>
  <c r="S65" i="3"/>
  <c r="P66" i="3"/>
  <c r="Q66" i="3"/>
  <c r="R66" i="3"/>
  <c r="S66" i="3"/>
  <c r="P67" i="3"/>
  <c r="Q67" i="3"/>
  <c r="R67" i="3"/>
  <c r="S67" i="3"/>
  <c r="P68" i="3"/>
  <c r="Q68" i="3"/>
  <c r="R68" i="3"/>
  <c r="S68" i="3"/>
  <c r="O65" i="3"/>
  <c r="O66" i="3"/>
  <c r="O67" i="3"/>
  <c r="O68" i="3"/>
  <c r="N68" i="3"/>
  <c r="N67" i="3"/>
  <c r="N66" i="3"/>
  <c r="N65" i="3"/>
  <c r="M68" i="3"/>
  <c r="M67" i="3"/>
  <c r="M66" i="3"/>
  <c r="M65" i="3"/>
  <c r="L68" i="3"/>
  <c r="L67" i="3"/>
  <c r="L66" i="3"/>
  <c r="L65" i="3"/>
  <c r="H65" i="3"/>
  <c r="I65" i="3"/>
  <c r="J65" i="3"/>
  <c r="K65" i="3"/>
  <c r="H66" i="3"/>
  <c r="I66" i="3"/>
  <c r="J66" i="3"/>
  <c r="K66" i="3"/>
  <c r="H67" i="3"/>
  <c r="I67" i="3"/>
  <c r="J67" i="3"/>
  <c r="K67" i="3"/>
  <c r="H68" i="3"/>
  <c r="I68" i="3"/>
  <c r="J68" i="3"/>
  <c r="K68" i="3"/>
  <c r="G65" i="3"/>
  <c r="G66" i="3"/>
  <c r="G67" i="3"/>
  <c r="G68" i="3"/>
  <c r="E66" i="3"/>
  <c r="F68" i="3"/>
  <c r="F67" i="3"/>
  <c r="F66" i="3"/>
  <c r="F65" i="3"/>
  <c r="E67" i="3"/>
  <c r="E68" i="3"/>
  <c r="E65" i="3"/>
  <c r="D68" i="3"/>
  <c r="D67" i="3"/>
  <c r="D66" i="3"/>
  <c r="D65" i="3"/>
  <c r="D64" i="3"/>
  <c r="C68" i="3"/>
  <c r="C67" i="3"/>
  <c r="C66" i="3"/>
  <c r="C65" i="3"/>
  <c r="D34" i="9"/>
  <c r="D33" i="9"/>
  <c r="D32" i="9"/>
  <c r="D31" i="9"/>
  <c r="D30" i="9"/>
  <c r="D29" i="9"/>
  <c r="C16" i="3"/>
  <c r="C14" i="2" l="1"/>
  <c r="C13" i="2"/>
  <c r="N63" i="3"/>
  <c r="R62" i="3"/>
  <c r="O61" i="3"/>
  <c r="Q59" i="3"/>
  <c r="O55" i="3"/>
  <c r="R54" i="3"/>
  <c r="O53" i="3"/>
  <c r="M64" i="3"/>
  <c r="M60" i="3"/>
  <c r="M59" i="3"/>
  <c r="M58" i="3"/>
  <c r="M56" i="3"/>
  <c r="M52" i="3"/>
  <c r="L64" i="3"/>
  <c r="L63" i="3"/>
  <c r="L61" i="3"/>
  <c r="L57" i="3"/>
  <c r="L56" i="3"/>
  <c r="L55" i="3"/>
  <c r="L53" i="3"/>
  <c r="J63" i="3"/>
  <c r="I59" i="3"/>
  <c r="F58" i="3"/>
  <c r="K57" i="3"/>
  <c r="J55" i="3"/>
  <c r="E64" i="3"/>
  <c r="E63" i="3"/>
  <c r="E62" i="3"/>
  <c r="E56" i="3"/>
  <c r="E55" i="3"/>
  <c r="E54" i="3"/>
  <c r="D61" i="3"/>
  <c r="D60" i="3"/>
  <c r="D59" i="3"/>
  <c r="D53" i="3"/>
  <c r="D52" i="3"/>
  <c r="C64" i="3"/>
  <c r="C58" i="3"/>
  <c r="C57" i="3"/>
  <c r="C56" i="3"/>
  <c r="S64" i="3"/>
  <c r="S60" i="3"/>
  <c r="S58" i="3"/>
  <c r="S57" i="3"/>
  <c r="S56" i="3"/>
  <c r="S55" i="3"/>
  <c r="S54" i="3"/>
  <c r="S53" i="3"/>
  <c r="S52" i="3"/>
  <c r="R64" i="3"/>
  <c r="R60" i="3"/>
  <c r="R58" i="3"/>
  <c r="R57" i="3"/>
  <c r="R56" i="3"/>
  <c r="R52" i="3"/>
  <c r="Q64" i="3"/>
  <c r="Q60" i="3"/>
  <c r="Q58" i="3"/>
  <c r="Q57" i="3"/>
  <c r="Q56" i="3"/>
  <c r="Q53" i="3"/>
  <c r="Q52" i="3"/>
  <c r="P64" i="3"/>
  <c r="P60" i="3"/>
  <c r="P58" i="3"/>
  <c r="P57" i="3"/>
  <c r="P56" i="3"/>
  <c r="P54" i="3"/>
  <c r="P53" i="3"/>
  <c r="P52" i="3"/>
  <c r="O64" i="3"/>
  <c r="O60" i="3"/>
  <c r="O59" i="3"/>
  <c r="O58" i="3"/>
  <c r="O57" i="3"/>
  <c r="O56" i="3"/>
  <c r="O52" i="3"/>
  <c r="N64" i="3"/>
  <c r="N60" i="3"/>
  <c r="N58" i="3"/>
  <c r="N57" i="3"/>
  <c r="N56" i="3"/>
  <c r="N52" i="3"/>
  <c r="M63" i="3"/>
  <c r="M62" i="3"/>
  <c r="M61" i="3"/>
  <c r="M57" i="3"/>
  <c r="M55" i="3"/>
  <c r="M54" i="3"/>
  <c r="M53" i="3"/>
  <c r="L62" i="3"/>
  <c r="L60" i="3"/>
  <c r="L59" i="3"/>
  <c r="L58" i="3"/>
  <c r="L54" i="3"/>
  <c r="L52" i="3"/>
  <c r="K64" i="3"/>
  <c r="K63" i="3"/>
  <c r="K62" i="3"/>
  <c r="K61" i="3"/>
  <c r="K60" i="3"/>
  <c r="K56" i="3"/>
  <c r="K55" i="3"/>
  <c r="K54" i="3"/>
  <c r="K53" i="3"/>
  <c r="K52" i="3"/>
  <c r="J64" i="3"/>
  <c r="J62" i="3"/>
  <c r="J61" i="3"/>
  <c r="J60" i="3"/>
  <c r="J56" i="3"/>
  <c r="J54" i="3"/>
  <c r="J53" i="3"/>
  <c r="J52" i="3"/>
  <c r="I64" i="3"/>
  <c r="I63" i="3"/>
  <c r="I62" i="3"/>
  <c r="I61" i="3"/>
  <c r="I60" i="3"/>
  <c r="I57" i="3"/>
  <c r="I56" i="3"/>
  <c r="I55" i="3"/>
  <c r="I54" i="3"/>
  <c r="I53" i="3"/>
  <c r="I52" i="3"/>
  <c r="H64" i="3"/>
  <c r="H62" i="3"/>
  <c r="H61" i="3"/>
  <c r="H60" i="3"/>
  <c r="H56" i="3"/>
  <c r="H54" i="3"/>
  <c r="H53" i="3"/>
  <c r="H52" i="3"/>
  <c r="G64" i="3"/>
  <c r="G63" i="3"/>
  <c r="G62" i="3"/>
  <c r="G61" i="3"/>
  <c r="G60" i="3"/>
  <c r="G59" i="3"/>
  <c r="G58" i="3"/>
  <c r="G57" i="3"/>
  <c r="G56" i="3"/>
  <c r="G55" i="3"/>
  <c r="G54" i="3"/>
  <c r="G53" i="3"/>
  <c r="G52" i="3"/>
  <c r="F64" i="3"/>
  <c r="F63" i="3"/>
  <c r="F62" i="3"/>
  <c r="F61" i="3"/>
  <c r="F60" i="3"/>
  <c r="F56" i="3"/>
  <c r="F55" i="3"/>
  <c r="F54" i="3"/>
  <c r="F53" i="3"/>
  <c r="F52" i="3"/>
  <c r="E61" i="3"/>
  <c r="E60" i="3"/>
  <c r="E59" i="3"/>
  <c r="E58" i="3"/>
  <c r="E57" i="3"/>
  <c r="E53" i="3"/>
  <c r="E52" i="3"/>
  <c r="D63" i="3"/>
  <c r="D62" i="3"/>
  <c r="D58" i="3"/>
  <c r="D57" i="3"/>
  <c r="D56" i="3"/>
  <c r="D55" i="3"/>
  <c r="D54" i="3"/>
  <c r="C63" i="3"/>
  <c r="C62" i="3"/>
  <c r="C61" i="3"/>
  <c r="C60" i="3"/>
  <c r="C59" i="3"/>
  <c r="C55" i="3"/>
  <c r="C54" i="3"/>
  <c r="C53" i="3"/>
  <c r="C52" i="3"/>
  <c r="A49" i="3"/>
  <c r="P62" i="3" l="1"/>
  <c r="S63" i="3"/>
  <c r="S62" i="3"/>
  <c r="H58" i="3"/>
  <c r="F57" i="3"/>
  <c r="H55" i="3"/>
  <c r="H63" i="3"/>
  <c r="I58" i="3"/>
  <c r="P55" i="3"/>
  <c r="P63" i="3"/>
  <c r="R53" i="3"/>
  <c r="R61" i="3"/>
  <c r="J59" i="3"/>
  <c r="R59" i="3"/>
  <c r="N54" i="3"/>
  <c r="N62" i="3"/>
  <c r="Q55" i="3"/>
  <c r="Q63" i="3"/>
  <c r="S61" i="3"/>
  <c r="H59" i="3"/>
  <c r="J57" i="3"/>
  <c r="N53" i="3"/>
  <c r="N61" i="3"/>
  <c r="P59" i="3"/>
  <c r="Q54" i="3"/>
  <c r="Q62" i="3"/>
  <c r="N55" i="3"/>
  <c r="O63" i="3"/>
  <c r="F59" i="3"/>
  <c r="H57" i="3"/>
  <c r="K58" i="3"/>
  <c r="N59" i="3"/>
  <c r="O54" i="3"/>
  <c r="O62" i="3"/>
  <c r="R55" i="3"/>
  <c r="R63" i="3"/>
  <c r="P61" i="3"/>
  <c r="J58" i="3"/>
  <c r="K59" i="3"/>
  <c r="Q61" i="3"/>
  <c r="S59" i="3"/>
  <c r="O2" i="6"/>
  <c r="P2" i="6" s="1"/>
  <c r="Q2" i="6" s="1"/>
  <c r="R2" i="6" s="1"/>
  <c r="S2" i="6" s="1"/>
  <c r="S4" i="6" s="1"/>
  <c r="G2" i="6"/>
  <c r="H2" i="6" s="1"/>
  <c r="I2" i="6" s="1"/>
  <c r="J2" i="6" s="1"/>
  <c r="K2" i="6" s="1"/>
  <c r="K4" i="6" s="1"/>
  <c r="A9" i="9"/>
  <c r="B9" i="9"/>
  <c r="E8" i="3"/>
  <c r="L2" i="6" l="1"/>
  <c r="T2" i="6"/>
  <c r="A25" i="9"/>
  <c r="E25" i="9"/>
  <c r="H25" i="9"/>
  <c r="A26" i="9"/>
  <c r="J1" i="9"/>
  <c r="C24" i="2"/>
  <c r="A25" i="2"/>
  <c r="A27" i="2"/>
  <c r="A12" i="9"/>
  <c r="B12" i="9"/>
  <c r="B13" i="1"/>
  <c r="C10" i="3" s="1"/>
  <c r="E44" i="9"/>
  <c r="I39" i="9"/>
  <c r="F29" i="9"/>
  <c r="F30" i="9"/>
  <c r="F31" i="9"/>
  <c r="F32" i="9"/>
  <c r="F33" i="9"/>
  <c r="F34" i="9"/>
  <c r="E36" i="9"/>
  <c r="F36" i="9"/>
  <c r="E37" i="9"/>
  <c r="B29" i="9"/>
  <c r="C29" i="9"/>
  <c r="B30" i="9"/>
  <c r="C30" i="9"/>
  <c r="B31" i="9"/>
  <c r="C31" i="9"/>
  <c r="B32" i="9"/>
  <c r="C32" i="9"/>
  <c r="C33" i="9"/>
  <c r="B34" i="9"/>
  <c r="C34" i="9"/>
  <c r="B35" i="9"/>
  <c r="E24" i="9"/>
  <c r="G18" i="9"/>
  <c r="G19" i="9"/>
  <c r="G20" i="9"/>
  <c r="G24" i="9"/>
  <c r="H24" i="9"/>
  <c r="A4" i="9"/>
  <c r="B4" i="9"/>
  <c r="A6" i="9"/>
  <c r="A7" i="9"/>
  <c r="B7" i="9"/>
  <c r="A8" i="9"/>
  <c r="B8" i="9"/>
  <c r="A10" i="9"/>
  <c r="A11" i="9"/>
  <c r="B11" i="9"/>
  <c r="A13" i="9"/>
  <c r="A14" i="9"/>
  <c r="J44" i="1"/>
  <c r="J44" i="9" s="1"/>
  <c r="C35" i="1"/>
  <c r="C35" i="9" s="1"/>
  <c r="G20" i="3"/>
  <c r="F20" i="3"/>
  <c r="F21" i="3" s="1"/>
  <c r="E20" i="3"/>
  <c r="E21" i="3" s="1"/>
  <c r="E22" i="3" s="1"/>
  <c r="E23" i="3" s="1"/>
  <c r="D20" i="3"/>
  <c r="D21" i="3" s="1"/>
  <c r="C20" i="3"/>
  <c r="C21" i="3" s="1"/>
  <c r="B20" i="3"/>
  <c r="G19" i="3"/>
  <c r="F19" i="3"/>
  <c r="E19" i="3"/>
  <c r="D19" i="3"/>
  <c r="C19" i="3"/>
  <c r="B19" i="3"/>
  <c r="I35" i="1"/>
  <c r="B10" i="1"/>
  <c r="C35" i="2"/>
  <c r="R4" i="6"/>
  <c r="Q4" i="6"/>
  <c r="P4" i="6"/>
  <c r="O4" i="6"/>
  <c r="J4" i="6"/>
  <c r="I4" i="6"/>
  <c r="H4" i="6"/>
  <c r="G4" i="6"/>
  <c r="F4" i="6"/>
  <c r="E4" i="6"/>
  <c r="C32" i="2"/>
  <c r="F1" i="3"/>
  <c r="C9" i="3"/>
  <c r="C15" i="3"/>
  <c r="A24" i="3"/>
  <c r="B24" i="3"/>
  <c r="C24" i="3"/>
  <c r="D24" i="3"/>
  <c r="E24" i="3"/>
  <c r="F24" i="3"/>
  <c r="G24" i="3"/>
  <c r="H37" i="3"/>
  <c r="B4" i="2"/>
  <c r="B5" i="2" s="1"/>
  <c r="B6" i="2" s="1"/>
  <c r="A26" i="2"/>
  <c r="B52" i="2"/>
  <c r="F38" i="1" s="1"/>
  <c r="F38" i="9" s="1"/>
  <c r="I4" i="1"/>
  <c r="I4" i="9" s="1"/>
  <c r="G26" i="1"/>
  <c r="G26" i="9" s="1"/>
  <c r="H21" i="3"/>
  <c r="H23" i="3" s="1"/>
  <c r="F40" i="1"/>
  <c r="H20" i="1" l="1"/>
  <c r="B27" i="3"/>
  <c r="H27" i="3"/>
  <c r="H29" i="3" s="1"/>
  <c r="F40" i="9"/>
  <c r="G21" i="3"/>
  <c r="G22" i="3" s="1"/>
  <c r="G23" i="3" s="1"/>
  <c r="F22" i="3"/>
  <c r="F23" i="3" s="1"/>
  <c r="D22" i="3"/>
  <c r="D23" i="3" s="1"/>
  <c r="C22" i="3"/>
  <c r="C23" i="3" s="1"/>
  <c r="E30" i="1" s="1"/>
  <c r="E30" i="9" s="1"/>
  <c r="B21" i="3"/>
  <c r="H18" i="9"/>
  <c r="S6" i="6"/>
  <c r="R6" i="6"/>
  <c r="G6" i="6"/>
  <c r="I6" i="6"/>
  <c r="H6" i="6"/>
  <c r="Q6" i="6"/>
  <c r="P6" i="6"/>
  <c r="O6" i="6"/>
  <c r="M2" i="6"/>
  <c r="L4" i="6"/>
  <c r="J6" i="6"/>
  <c r="K6" i="6"/>
  <c r="U2" i="6"/>
  <c r="T4" i="6"/>
  <c r="G11" i="3"/>
  <c r="B13" i="9"/>
  <c r="C8" i="3"/>
  <c r="C11" i="3"/>
  <c r="G10" i="3"/>
  <c r="E38" i="9"/>
  <c r="I35" i="9"/>
  <c r="B10" i="9"/>
  <c r="J35" i="1"/>
  <c r="J35" i="9" s="1"/>
  <c r="C27" i="3"/>
  <c r="C29" i="3" s="1"/>
  <c r="F27" i="3"/>
  <c r="F29" i="3" s="1"/>
  <c r="G27" i="3"/>
  <c r="G30" i="3" s="1"/>
  <c r="E27" i="3"/>
  <c r="E29" i="3" s="1"/>
  <c r="D27" i="3"/>
  <c r="D30" i="3" s="1"/>
  <c r="G8" i="3"/>
  <c r="H25" i="3"/>
  <c r="H32" i="3" s="1"/>
  <c r="I24" i="3" l="1"/>
  <c r="B22" i="3"/>
  <c r="B23" i="3" s="1"/>
  <c r="I21" i="3"/>
  <c r="H19" i="9"/>
  <c r="C49" i="2"/>
  <c r="H26" i="1"/>
  <c r="H26" i="9" s="1"/>
  <c r="T6" i="6"/>
  <c r="N2" i="6"/>
  <c r="N4" i="6" s="1"/>
  <c r="M4" i="6"/>
  <c r="L6" i="6"/>
  <c r="U4" i="6"/>
  <c r="V2" i="6"/>
  <c r="V4" i="6" s="1"/>
  <c r="B14" i="1"/>
  <c r="B14" i="9" s="1"/>
  <c r="G25" i="3"/>
  <c r="E34" i="1"/>
  <c r="E34" i="9" s="1"/>
  <c r="F25" i="3"/>
  <c r="E33" i="1"/>
  <c r="E33" i="9" s="1"/>
  <c r="E25" i="3"/>
  <c r="E32" i="1"/>
  <c r="E32" i="9" s="1"/>
  <c r="C25" i="3"/>
  <c r="D25" i="3"/>
  <c r="E31" i="1"/>
  <c r="E31" i="9" s="1"/>
  <c r="H20" i="9"/>
  <c r="F30" i="3"/>
  <c r="G29" i="3"/>
  <c r="H30" i="3"/>
  <c r="E30" i="3"/>
  <c r="D29" i="3"/>
  <c r="C30" i="3"/>
  <c r="H39" i="3"/>
  <c r="G36" i="1"/>
  <c r="G36" i="9" s="1"/>
  <c r="E32" i="3" l="1"/>
  <c r="E35" i="3" s="1"/>
  <c r="C32" i="3"/>
  <c r="C40" i="3" s="1"/>
  <c r="G32" i="3"/>
  <c r="G40" i="3" s="1"/>
  <c r="D32" i="3"/>
  <c r="D40" i="3" s="1"/>
  <c r="F32" i="3"/>
  <c r="F40" i="3" s="1"/>
  <c r="E29" i="1"/>
  <c r="B25" i="3"/>
  <c r="B32" i="3" s="1"/>
  <c r="I23" i="3"/>
  <c r="G34" i="1"/>
  <c r="G34" i="9" s="1"/>
  <c r="G30" i="1"/>
  <c r="G30" i="9" s="1"/>
  <c r="U6" i="6"/>
  <c r="V6" i="6"/>
  <c r="N6" i="6"/>
  <c r="M6" i="6"/>
  <c r="G32" i="1"/>
  <c r="G32" i="9" s="1"/>
  <c r="G31" i="1"/>
  <c r="G31" i="9" s="1"/>
  <c r="G33" i="1"/>
  <c r="G33" i="9" s="1"/>
  <c r="H42" i="3"/>
  <c r="H36" i="1"/>
  <c r="H36" i="9" s="1"/>
  <c r="F50" i="1"/>
  <c r="J49" i="1" l="1"/>
  <c r="J50" i="1" s="1"/>
  <c r="J48" i="1"/>
  <c r="E40" i="1"/>
  <c r="E40" i="9" s="1"/>
  <c r="E40" i="3"/>
  <c r="D34" i="3"/>
  <c r="E37" i="3"/>
  <c r="E34" i="3"/>
  <c r="E36" i="3" s="1"/>
  <c r="E38" i="3" s="1"/>
  <c r="E29" i="9"/>
  <c r="G29" i="1"/>
  <c r="G40" i="1" s="1"/>
  <c r="A46" i="3" s="1"/>
  <c r="I25" i="3"/>
  <c r="I32" i="3" s="1"/>
  <c r="F37" i="3"/>
  <c r="F38" i="3" s="1"/>
  <c r="F39" i="3" s="1"/>
  <c r="F34" i="3"/>
  <c r="F36" i="3" s="1"/>
  <c r="F35" i="3"/>
  <c r="D36" i="3"/>
  <c r="D35" i="3"/>
  <c r="D37" i="3"/>
  <c r="I27" i="3"/>
  <c r="G35" i="3"/>
  <c r="G37" i="3"/>
  <c r="C34" i="3"/>
  <c r="C36" i="3" s="1"/>
  <c r="C35" i="3"/>
  <c r="C37" i="3"/>
  <c r="G34" i="3"/>
  <c r="G36" i="3" s="1"/>
  <c r="G38" i="3" s="1"/>
  <c r="F50" i="9"/>
  <c r="H43" i="3"/>
  <c r="E39" i="3"/>
  <c r="I36" i="1"/>
  <c r="I36" i="9" s="1"/>
  <c r="C19" i="2" l="1"/>
  <c r="E41" i="3"/>
  <c r="H32" i="1" s="1"/>
  <c r="H32" i="9" s="1"/>
  <c r="B37" i="3"/>
  <c r="B40" i="3"/>
  <c r="I40" i="3" s="1"/>
  <c r="B35" i="3"/>
  <c r="I35" i="3" s="1"/>
  <c r="B34" i="3"/>
  <c r="B36" i="3" s="1"/>
  <c r="G29" i="9"/>
  <c r="G39" i="3"/>
  <c r="G41" i="3" s="1"/>
  <c r="H34" i="1" s="1"/>
  <c r="H34" i="9" s="1"/>
  <c r="F41" i="3"/>
  <c r="H33" i="1" s="1"/>
  <c r="H33" i="9" s="1"/>
  <c r="B30" i="3"/>
  <c r="I30" i="3" s="1"/>
  <c r="B29" i="3"/>
  <c r="I29" i="3" s="1"/>
  <c r="D38" i="3"/>
  <c r="D39" i="3" s="1"/>
  <c r="D41" i="3" s="1"/>
  <c r="D42" i="3" s="1"/>
  <c r="G40" i="9"/>
  <c r="J36" i="1"/>
  <c r="J36" i="9" s="1"/>
  <c r="C38" i="3"/>
  <c r="C39" i="3" s="1"/>
  <c r="C41" i="3" s="1"/>
  <c r="E42" i="3" l="1"/>
  <c r="E43" i="3" s="1"/>
  <c r="B38" i="3"/>
  <c r="I38" i="3" s="1"/>
  <c r="I36" i="3"/>
  <c r="I34" i="3"/>
  <c r="G42" i="3"/>
  <c r="I34" i="1" s="1"/>
  <c r="I34" i="9" s="1"/>
  <c r="F42" i="3"/>
  <c r="F43" i="3" s="1"/>
  <c r="J33" i="1" s="1"/>
  <c r="J33" i="9" s="1"/>
  <c r="H31" i="1"/>
  <c r="H31" i="9" s="1"/>
  <c r="D43" i="3"/>
  <c r="I31" i="1"/>
  <c r="I31" i="9" s="1"/>
  <c r="C42" i="3"/>
  <c r="H30" i="1"/>
  <c r="I32" i="1" l="1"/>
  <c r="I32" i="9" s="1"/>
  <c r="B39" i="3"/>
  <c r="I39" i="3" s="1"/>
  <c r="G43" i="3"/>
  <c r="J34" i="1" s="1"/>
  <c r="J34" i="9" s="1"/>
  <c r="I33" i="1"/>
  <c r="I33" i="9" s="1"/>
  <c r="H30" i="9"/>
  <c r="J31" i="1"/>
  <c r="J31" i="9" s="1"/>
  <c r="C43" i="3"/>
  <c r="J32" i="1"/>
  <c r="J32" i="9" s="1"/>
  <c r="I30" i="1"/>
  <c r="B41" i="3" l="1"/>
  <c r="I41" i="3" s="1"/>
  <c r="I30" i="9"/>
  <c r="J30" i="1"/>
  <c r="J30" i="9" s="1"/>
  <c r="B42" i="3" l="1"/>
  <c r="B43" i="3" s="1"/>
  <c r="J29" i="1" s="1"/>
  <c r="J29" i="9" s="1"/>
  <c r="H29" i="1"/>
  <c r="H29" i="9" s="1"/>
  <c r="I29" i="1" l="1"/>
  <c r="I40" i="1" s="1"/>
  <c r="I42" i="3"/>
  <c r="I43" i="3" s="1"/>
  <c r="H40" i="1"/>
  <c r="H40" i="9" s="1"/>
  <c r="I29" i="9" l="1"/>
  <c r="F48" i="1"/>
  <c r="F48" i="9" s="1"/>
  <c r="J40" i="1"/>
  <c r="J40" i="9" s="1"/>
  <c r="I40" i="9"/>
  <c r="C51" i="2"/>
  <c r="G47" i="9" s="1"/>
  <c r="G47" i="1" l="1"/>
  <c r="F52" i="1"/>
  <c r="F52" i="9" l="1"/>
  <c r="C42" i="2"/>
  <c r="G9" i="3" l="1"/>
  <c r="A52" i="9" s="1"/>
  <c r="A28" i="2"/>
  <c r="A52" i="1" l="1"/>
  <c r="E43" i="1"/>
  <c r="E43" i="9" s="1"/>
  <c r="E45" i="1"/>
  <c r="J45" i="1" s="1"/>
  <c r="E45" i="9" l="1"/>
  <c r="J45" i="9"/>
  <c r="D19" i="2"/>
  <c r="C36" i="2"/>
  <c r="C37" i="2" s="1"/>
  <c r="C38" i="2" s="1"/>
  <c r="C39" i="2" s="1"/>
  <c r="C41" i="2" s="1"/>
  <c r="G48" i="1" s="1"/>
  <c r="G48" i="9" s="1"/>
  <c r="F49" i="1"/>
  <c r="F49" i="9" s="1"/>
  <c r="C45" i="2"/>
  <c r="F51" i="1" s="1"/>
  <c r="F51" i="9" s="1"/>
  <c r="J43" i="1"/>
  <c r="J43" i="9" s="1"/>
  <c r="C29" i="2" l="1"/>
  <c r="C33" i="2" s="1"/>
  <c r="C46" i="2"/>
  <c r="C47" i="2" s="1"/>
  <c r="F53" i="1"/>
  <c r="F53" i="9" s="1"/>
  <c r="F54" i="1" l="1"/>
  <c r="F54" i="9" s="1"/>
  <c r="C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9"/>
            <color indexed="81"/>
            <rFont val="Tahoma"/>
            <family val="2"/>
          </rPr>
          <t>If number of dependants &gt;4, perform full living allowance review and refer to the lending team</t>
        </r>
      </text>
    </comment>
    <comment ref="B9" authorId="0" shapeId="0" xr:uid="{00000000-0006-0000-0100-000003000000}">
      <text>
        <r>
          <rPr>
            <sz val="8"/>
            <color indexed="81"/>
            <rFont val="Tahoma"/>
            <family val="2"/>
          </rPr>
          <t>Enter the proposed limit for the new credit card (min $1000).</t>
        </r>
      </text>
    </comment>
    <comment ref="D9" authorId="1" shapeId="0" xr:uid="{00000000-0006-0000-0100-000004000000}">
      <text>
        <r>
          <rPr>
            <sz val="9"/>
            <color indexed="81"/>
            <rFont val="Tahoma"/>
            <family val="2"/>
          </rPr>
          <t>Choose if this loan is for a 
Community First / EasyStreet 
or an Amigo Credit Card</t>
        </r>
      </text>
    </comment>
    <comment ref="B11" authorId="1" shapeId="0" xr:uid="{00000000-0006-0000-0100-000005000000}">
      <text>
        <r>
          <rPr>
            <sz val="8"/>
            <color indexed="81"/>
            <rFont val="Tahoma"/>
            <family val="2"/>
          </rPr>
          <t>Use the actual rate of the product.</t>
        </r>
      </text>
    </comment>
    <comment ref="B12" authorId="0" shapeId="0" xr:uid="{00000000-0006-0000-0100-000006000000}">
      <text>
        <r>
          <rPr>
            <sz val="8"/>
            <color indexed="81"/>
            <rFont val="Tahoma"/>
            <family val="2"/>
          </rPr>
          <t>Enter the term in months and the calculator will convert to years for the calculation.</t>
        </r>
      </text>
    </comment>
    <comment ref="G20" authorId="0" shapeId="0" xr:uid="{00000000-0006-0000-0100-000007000000}">
      <text>
        <r>
          <rPr>
            <sz val="8"/>
            <color indexed="81"/>
            <rFont val="Tahoma"/>
            <family val="2"/>
          </rPr>
          <t>Enter total limits for all credit cards (not being paid out by this facility).</t>
        </r>
      </text>
    </comment>
    <comment ref="G21" authorId="0" shapeId="0" xr:uid="{00000000-0006-0000-0100-000008000000}">
      <text>
        <r>
          <rPr>
            <sz val="8"/>
            <color indexed="81"/>
            <rFont val="Tahoma"/>
            <family val="2"/>
          </rPr>
          <t>Enter total limits for all credit cards (not being paid out by this facility).</t>
        </r>
      </text>
    </comment>
    <comment ref="G22" authorId="0" shapeId="0" xr:uid="{00000000-0006-0000-0100-000009000000}">
      <text>
        <r>
          <rPr>
            <sz val="8"/>
            <color indexed="81"/>
            <rFont val="Tahoma"/>
            <family val="2"/>
          </rPr>
          <t>Enter total limits for all credit cards (not being paid out by this facility).</t>
        </r>
      </text>
    </comment>
    <comment ref="G23" authorId="0" shapeId="0" xr:uid="{00000000-0006-0000-0100-00000A000000}">
      <text>
        <r>
          <rPr>
            <sz val="8"/>
            <color indexed="81"/>
            <rFont val="Tahoma"/>
            <family val="2"/>
          </rPr>
          <t>Enter total limits for secured lines of credit only. Repay @ 1% of limits.</t>
        </r>
      </text>
    </comment>
    <comment ref="H25" authorId="0" shapeId="0" xr:uid="{00000000-0006-0000-0100-00000B000000}">
      <text>
        <r>
          <rPr>
            <sz val="8"/>
            <color indexed="81"/>
            <rFont val="Tahoma"/>
            <family val="2"/>
          </rPr>
          <t>Enter monthly rental payments here. If weekly / fortnightly multiply by 52 or 26 and divide by 12 to get monthly payment.</t>
        </r>
      </text>
    </comment>
    <comment ref="B29" authorId="0" shapeId="0" xr:uid="{00000000-0006-0000-0100-00000C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29" authorId="0" shapeId="0" xr:uid="{00000000-0006-0000-0100-00000D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29" authorId="0" shapeId="0" xr:uid="{00000000-0006-0000-0100-00000E000000}">
      <text>
        <r>
          <rPr>
            <sz val="8"/>
            <color indexed="81"/>
            <rFont val="Tahoma"/>
            <family val="2"/>
          </rPr>
          <t>Annual rental income before tax. 
80% is used for the calculation.
It is included in the Income Tax calculation.</t>
        </r>
      </text>
    </comment>
    <comment ref="B35" authorId="0" shapeId="0" xr:uid="{00000000-0006-0000-0100-00000F000000}">
      <text>
        <r>
          <rPr>
            <sz val="8"/>
            <color indexed="81"/>
            <rFont val="Tahoma"/>
            <family val="2"/>
          </rPr>
          <t>Only Centrelink payments defined as acceptable in the policy should be included. If in doubt please refer to the lending team.</t>
        </r>
      </text>
    </comment>
    <comment ref="E36" authorId="0" shapeId="0" xr:uid="{00000000-0006-0000-0100-000010000000}">
      <text>
        <r>
          <rPr>
            <sz val="8"/>
            <color indexed="81"/>
            <rFont val="Tahoma"/>
            <family val="2"/>
          </rPr>
          <t>Enter current and previous years (below) NPBT. Last two years will be averaged for purposes of income calculation.</t>
        </r>
      </text>
    </comment>
    <comment ref="F36" authorId="0" shapeId="0" xr:uid="{00000000-0006-0000-0100-000011000000}">
      <text>
        <r>
          <rPr>
            <sz val="8"/>
            <color indexed="81"/>
            <rFont val="Tahoma"/>
            <family val="2"/>
          </rPr>
          <t>Annual rental income before tax. 60% is used for the calculation.</t>
        </r>
      </text>
    </comment>
    <comment ref="I39" authorId="0" shapeId="0" xr:uid="{00000000-0006-0000-0100-000012000000}">
      <text>
        <r>
          <rPr>
            <sz val="8"/>
            <color indexed="81"/>
            <rFont val="Tahoma"/>
            <family val="2"/>
          </rPr>
          <t>Depreciation &amp; amortisation only.</t>
        </r>
      </text>
    </comment>
    <comment ref="E44" authorId="0" shapeId="0" xr:uid="{00000000-0006-0000-0100-000013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32"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<sst xmlns="http://schemas.openxmlformats.org/spreadsheetml/2006/main" count="447" uniqueCount="332">
  <si>
    <t>Credit Servicing Calculator - Help Reference</t>
  </si>
  <si>
    <t>PRINTING, REFRESHING AND MOVING AROUND THE CALCULATOR</t>
  </si>
  <si>
    <t>Refresh Button</t>
  </si>
  <si>
    <t>Press to clear the calculator and start again with a new calculation.</t>
  </si>
  <si>
    <t>Zoom / 100% Button</t>
  </si>
  <si>
    <t>Press to toggle between the maximum Full screen view of the entire page and a 100% view.</t>
  </si>
  <si>
    <t>Preview Button</t>
  </si>
  <si>
    <t>Press to print preview the Calculator Print Page.</t>
  </si>
  <si>
    <t>Print Button</t>
  </si>
  <si>
    <t>Press to print the Calculator Print Page without preview.</t>
  </si>
  <si>
    <t>Tab Key</t>
  </si>
  <si>
    <t>If your tab key does not move you between the calculator fields, click on:</t>
  </si>
  <si>
    <t>Tools, Options, Transition and then ensure that the Transition navigation box is NOT ticked.</t>
  </si>
  <si>
    <t>Applicant Name</t>
  </si>
  <si>
    <t>Enter borrower surname(s) and initials.</t>
  </si>
  <si>
    <t>Borrower Type</t>
  </si>
  <si>
    <t>Select the drop down menu and select the appropriate borrower / family unit. If number of dependants &gt;4, perform full living allowance review and refer to the lending team</t>
  </si>
  <si>
    <t>Loan - Owner Occupied</t>
  </si>
  <si>
    <t>Enter total proposed new (Owner Occupied) loan amount(s).</t>
  </si>
  <si>
    <t>Loan - Investment</t>
  </si>
  <si>
    <t>Enter total proposed new (Investment) loan amount(s).</t>
  </si>
  <si>
    <t>Loan Interest Rate (p.a)</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</si>
  <si>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</si>
  <si>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Loan Term (Months)</t>
  </si>
  <si>
    <t>Enter the loan term in months.</t>
  </si>
  <si>
    <t>For further advances, enter remaining term, rounded to the nearest year.</t>
  </si>
  <si>
    <t>CALCULATED LIVING EXPENSES</t>
  </si>
  <si>
    <t>Calculated</t>
  </si>
  <si>
    <t xml:space="preserve">Total living expenses will be automatically calculated based upon the number of adult singles, adult couples and </t>
  </si>
  <si>
    <t>total dependent children.</t>
  </si>
  <si>
    <t>Overide (refer Help)</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</si>
  <si>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</si>
  <si>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</si>
  <si>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</si>
  <si>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</si>
  <si>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OTHER COMMITMENTS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</si>
  <si>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</si>
  <si>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</si>
  <si>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</si>
  <si>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</si>
  <si>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Credit Cards - CFCU / EasyStreet</t>
  </si>
  <si>
    <t>Enter total of all other CFCU and EasyStreet credit card limits.  Monthly payment commitments will be calculated automatically using the usual 3.2% of total limits, per month (i.e 38.4% per annum).</t>
  </si>
  <si>
    <t>Credit Cards - (AMIGO)</t>
  </si>
  <si>
    <t>Enter total of all other Amigo credit card limits.  Monthly payment commitments will be calculated automatically using the usual 3.5% of total limits, per month (i.e 42% per annum).</t>
  </si>
  <si>
    <t>Credit Cards - Other Banks</t>
  </si>
  <si>
    <t>Enter total of all other Banks credit card limits.  Monthly payment commitments will be calculated automatically using the usual 3.75% of total limits, per month (i.e 45% per annum).</t>
  </si>
  <si>
    <t>Other (Please Specify)</t>
  </si>
  <si>
    <t xml:space="preserve">Enter the total amount of any personal, lease or other committed payment(s) not already included in “Loans” or “Credit </t>
  </si>
  <si>
    <t>Cards”. Please specify details such as type of commitment and lender.</t>
  </si>
  <si>
    <t>Total</t>
  </si>
  <si>
    <t>Automatically calculates credit card payments and totals all other commitment payments.</t>
  </si>
  <si>
    <t>INCOME CALCULATIONS</t>
  </si>
  <si>
    <t>Gross Income of Applicants 1- 6</t>
  </si>
  <si>
    <t>Enter gross annual income for each applicant, including Sole Trader/Partnership Net Profit Before Tax.</t>
  </si>
  <si>
    <t>Gross Annual Rental Income</t>
  </si>
  <si>
    <t>Enter gross annual rental income using the lesser of:</t>
  </si>
  <si>
    <t xml:space="preserve"> - valuer’s estimate (per valuation report);</t>
  </si>
  <si>
    <t xml:space="preserve"> - current rent received (evidenced by statements); or</t>
  </si>
  <si>
    <t xml:space="preserve"> - letter from Real Estate Agent.</t>
  </si>
  <si>
    <t>Company NPBT, most recent year</t>
  </si>
  <si>
    <t>Enter total annual company Net Profit Before Tax for last financial year</t>
  </si>
  <si>
    <t>Company NPBT, previous year</t>
  </si>
  <si>
    <t>Enter total annual company Net Profit Before Tax for financial year before last</t>
  </si>
  <si>
    <t>Amt used as Company NPBT</t>
  </si>
  <si>
    <t xml:space="preserve">Automatically calculates Company Net Profit Before Tax, as set out in the Operations Manual.  </t>
  </si>
  <si>
    <t>Company/Business Addbacks</t>
  </si>
  <si>
    <t>Enter total amount of any allowable non-cash addbacks (i.e. depreciation).</t>
  </si>
  <si>
    <t>Centrelink Family Payments</t>
  </si>
  <si>
    <t>Enter total amount of eligible Centrelink Family payments (Type A &amp; B only).</t>
  </si>
  <si>
    <t>Total Net Income</t>
  </si>
  <si>
    <t>Automatically totals all personal, rental and company income, and deducts tax.</t>
  </si>
  <si>
    <t>Living Expenses</t>
  </si>
  <si>
    <t>The monthly payment for total proposed new/increased loan amount(s) will be automatically calculated.</t>
  </si>
  <si>
    <t>Loan Amount</t>
  </si>
  <si>
    <t>Automatically totals all proposed Owner Occupied and/or Investment loans being applied for.</t>
  </si>
  <si>
    <t>Total Costs</t>
  </si>
  <si>
    <t>Automatically totals all living expenses, proposed loan payments and other commitment payments.</t>
  </si>
  <si>
    <t>Net Disposable Income</t>
  </si>
  <si>
    <t xml:space="preserve">Automatically calculates net income after tax, living expenses, proposed new loan payments and all other commitment payments. </t>
  </si>
  <si>
    <t>ARA Yearly</t>
  </si>
  <si>
    <t>Automatically calculates the Assessed Repayment Amount per year, as below:</t>
  </si>
  <si>
    <t>"Total Net Income" minus "Total Costs" equals ARA</t>
  </si>
  <si>
    <t xml:space="preserve">"Total Net Income" equals gross income minus income tax </t>
  </si>
  <si>
    <t xml:space="preserve">"Total Costs" equals (assessed living expenses plus proposed repayments plus existing other debt repayments) </t>
  </si>
  <si>
    <t>ARA Monthly</t>
  </si>
  <si>
    <t>ARA must be greater than $0 to be acceptable.  If less than $0 a policy exception is required.</t>
  </si>
  <si>
    <t>Maximum Loan Amount</t>
  </si>
  <si>
    <t xml:space="preserve">Maximum Loan Amount is for demonstrative purposes only and is shown in whole $1,000 amounts only. </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</si>
  <si>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</si>
  <si>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</si>
  <si>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</si>
  <si>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</si>
  <si>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 xml:space="preserve">In any case, the Maximum Loan Amount in this calculator is limited to $2 million.  </t>
  </si>
  <si>
    <t>The maximum loan amount of any lending approval is subject to policy and processes as set out in the Consumer Credit</t>
  </si>
  <si>
    <t>Assessment Principles eg dependent on LVR, acceptable property guidelines and Lender's Mortgage Insurance approval.</t>
  </si>
  <si>
    <t>Community First</t>
  </si>
  <si>
    <t>CFCU V13.17 - Feb 24</t>
  </si>
  <si>
    <t>Personal Loan Servicing Calculator</t>
  </si>
  <si>
    <t>Help in using this Calculator is available on the previous page.</t>
  </si>
  <si>
    <t>Credit Card - Limit</t>
  </si>
  <si>
    <t>CFCU / Easystreet</t>
  </si>
  <si>
    <t>Total Loan Amount</t>
  </si>
  <si>
    <t>Use the Tab Key to move between fields on this page.</t>
  </si>
  <si>
    <t>Loan Interest Rate (p.a.)</t>
  </si>
  <si>
    <t>Loan Term (Years)</t>
  </si>
  <si>
    <t>Total Monthly Payment</t>
  </si>
  <si>
    <t>Other Commitments not being Financed by the Proposed Loan</t>
  </si>
  <si>
    <t>Type</t>
  </si>
  <si>
    <t>Amount / Limit</t>
  </si>
  <si>
    <t>Total Monthly Payments</t>
  </si>
  <si>
    <t>Other Mortgage Loans - Owner Occupied</t>
  </si>
  <si>
    <t>Other Mortgage Loans - Investment</t>
  </si>
  <si>
    <t>Secured Lines of Credit (Total Limits)</t>
  </si>
  <si>
    <t>Other  (Please Specify)</t>
  </si>
  <si>
    <t>Monthly Rent (Specify Address)</t>
  </si>
  <si>
    <t>Income Calculations</t>
  </si>
  <si>
    <t>Gross Income (Before Tax)</t>
  </si>
  <si>
    <t>Income Frequency</t>
  </si>
  <si>
    <t>Annual Income
inc Overtime (Before Tax)</t>
  </si>
  <si>
    <t>Gross Annual Income</t>
  </si>
  <si>
    <t>Gross Annual  Rental Income</t>
  </si>
  <si>
    <t xml:space="preserve"> Total Gross    Annual Income</t>
  </si>
  <si>
    <t>Income Tax</t>
  </si>
  <si>
    <t>Net Annual Income (After Tax)</t>
  </si>
  <si>
    <t>Net Monthly Income (After Tax)</t>
  </si>
  <si>
    <t>Applicant 1</t>
  </si>
  <si>
    <t>Applicant 2</t>
  </si>
  <si>
    <t>Applicant 3</t>
  </si>
  <si>
    <t>Applicant 4</t>
  </si>
  <si>
    <t>Applicant 5</t>
  </si>
  <si>
    <t>Applicant 6</t>
  </si>
  <si>
    <r>
      <rPr>
        <b/>
        <sz val="10"/>
        <rFont val="Arial"/>
        <family val="2"/>
      </rPr>
      <t>Fortnightly Centrelink Payments (Refer to Policy for acceptable forms)</t>
    </r>
  </si>
  <si>
    <t>Company NPBT - most recent year</t>
  </si>
  <si>
    <t>Company NPBT - previous year</t>
  </si>
  <si>
    <t>Amount Used as Company NPBT</t>
  </si>
  <si>
    <t>Company/Business non-cash addbacks (depreciation &amp; amortisation only)</t>
  </si>
  <si>
    <t>Totals</t>
  </si>
  <si>
    <t>Calculated Living Expenses</t>
  </si>
  <si>
    <t>Per Annum</t>
  </si>
  <si>
    <t>Living Exp. Per Month</t>
  </si>
  <si>
    <t>Applicable for ARA</t>
  </si>
  <si>
    <t>Serviceability Calculations</t>
  </si>
  <si>
    <t>LTI</t>
  </si>
  <si>
    <r>
      <rPr>
        <b/>
        <sz val="10"/>
        <rFont val="Arial"/>
        <family val="2"/>
      </rPr>
      <t>less</t>
    </r>
    <r>
      <rPr>
        <sz val="10"/>
        <rFont val="Arial"/>
        <family val="2"/>
      </rPr>
      <t xml:space="preserve"> Living Expenses</t>
    </r>
  </si>
  <si>
    <t>DTI</t>
  </si>
  <si>
    <r>
      <rPr>
        <b/>
        <sz val="10"/>
        <rFont val="Arial"/>
        <family val="2"/>
      </rPr>
      <t>less</t>
    </r>
    <r>
      <rPr>
        <sz val="10"/>
        <rFont val="Arial"/>
        <family val="2"/>
      </rPr>
      <t xml:space="preserve"> Other Commitment Payments</t>
    </r>
  </si>
  <si>
    <t>DTI&gt; 6</t>
  </si>
  <si>
    <r>
      <rPr>
        <b/>
        <sz val="10"/>
        <rFont val="Arial"/>
        <family val="2"/>
      </rPr>
      <t>Equals</t>
    </r>
    <r>
      <rPr>
        <sz val="10"/>
        <rFont val="Arial"/>
        <family val="2"/>
      </rPr>
      <t xml:space="preserve"> ARA </t>
    </r>
  </si>
  <si>
    <t>Meeting the Minimum ARA Requirement does not guarantee the loan will be accepted. Acceptance is subject to criteria as set out in the Consumer Credit Assessment Principles including acceptable property valuation and Lender's Mortgage Insurance (if applicable).</t>
  </si>
  <si>
    <t>Net Surplus (ARA minus Proposed Loan Repayments)</t>
  </si>
  <si>
    <t>Net Surplus Monthly</t>
  </si>
  <si>
    <t>Credit Card payments are based on</t>
  </si>
  <si>
    <t>3.2%</t>
  </si>
  <si>
    <t>3.5%</t>
  </si>
  <si>
    <t>3.75%</t>
  </si>
  <si>
    <t>of Credit Limit per month</t>
  </si>
  <si>
    <t>Company/Business non-cash addbacks (eg: depreciation)</t>
  </si>
  <si>
    <t>Community First Loan Servicing Calculator - Calculations Reference</t>
  </si>
  <si>
    <t>Payment Frequency</t>
  </si>
  <si>
    <t>Annual Multiple</t>
  </si>
  <si>
    <t>Servicing Test Interest Rate per annum</t>
  </si>
  <si>
    <t>Weekly</t>
  </si>
  <si>
    <t>Standard Variable Rate (SVR)</t>
  </si>
  <si>
    <t>Fortnightly</t>
  </si>
  <si>
    <t>Buffer</t>
  </si>
  <si>
    <t>Monthly</t>
  </si>
  <si>
    <t>Quarterly</t>
  </si>
  <si>
    <t>Loan Amount Payment Calculations</t>
  </si>
  <si>
    <t>Proposed Loan Details</t>
  </si>
  <si>
    <t>Proposed CCard Details</t>
  </si>
  <si>
    <t>Applicable ARA Interest Rate</t>
  </si>
  <si>
    <t>Annually</t>
  </si>
  <si>
    <t>Payment Calculations results are displayed here for the proposed loan at both the proposed loan interest rate and the ??? Test Rate. The higher rate will be used in the NSR calculation.</t>
  </si>
  <si>
    <t>Limit</t>
  </si>
  <si>
    <t>Interest Rate</t>
  </si>
  <si>
    <t>Monthly Repayment</t>
  </si>
  <si>
    <t>Amigo</t>
  </si>
  <si>
    <t>Other Banks</t>
  </si>
  <si>
    <t>Credit Card Monthly Payment Percent</t>
  </si>
  <si>
    <t>Rental Allowance Factor</t>
  </si>
  <si>
    <t>Company Rental Factor</t>
  </si>
  <si>
    <t>Extra Annual Overtime Income - Haircut Rate</t>
  </si>
  <si>
    <t>Applicant Income Calculations</t>
  </si>
  <si>
    <t>Company NPBT</t>
  </si>
  <si>
    <t>Gross Income</t>
  </si>
  <si>
    <t>Frequency</t>
  </si>
  <si>
    <t>Gross Base Annual Income</t>
  </si>
  <si>
    <t>Extra Annual Overtime Income (after haircut)</t>
  </si>
  <si>
    <t>Total Gross Annual Income</t>
  </si>
  <si>
    <t>Pro-Rata Allocation of Rental Expense</t>
  </si>
  <si>
    <t>Deductible Interest - This Inv Loan (Not used)</t>
  </si>
  <si>
    <t>Deductible Interest - Other Inv Loans (Not used)</t>
  </si>
  <si>
    <t>Estimate of Taxable Income</t>
  </si>
  <si>
    <t>Tax Scale Base</t>
  </si>
  <si>
    <t>N/A</t>
  </si>
  <si>
    <t>Base Tax Amount</t>
  </si>
  <si>
    <t>Salary Over Base Tax Amount</t>
  </si>
  <si>
    <t>Tax Scale Rate</t>
  </si>
  <si>
    <t>Tax on Over Base Amount</t>
  </si>
  <si>
    <t>Tax</t>
  </si>
  <si>
    <t>Medicare Levy</t>
  </si>
  <si>
    <t>Total Tax (Incl Medicare Levy)</t>
  </si>
  <si>
    <t xml:space="preserve">Total Net Annual Income </t>
  </si>
  <si>
    <t xml:space="preserve">Total Net Monthly Income </t>
  </si>
  <si>
    <t>Monthly Living Expenses</t>
  </si>
  <si>
    <t>Lookup Tables</t>
  </si>
  <si>
    <t>Single</t>
  </si>
  <si>
    <t>Couple</t>
  </si>
  <si>
    <t>Couple 1 Child</t>
  </si>
  <si>
    <t>Couple 2 Child</t>
  </si>
  <si>
    <t>Couple 3 Child</t>
  </si>
  <si>
    <t>Couple 4 Child</t>
  </si>
  <si>
    <t>Couple 5 Child</t>
  </si>
  <si>
    <t>Couple 6 Child</t>
  </si>
  <si>
    <t>Couple 7 Child</t>
  </si>
  <si>
    <t>Couple 8 Child</t>
  </si>
  <si>
    <t>Single Parent 1 Child</t>
  </si>
  <si>
    <t>Single Parent 2 Child</t>
  </si>
  <si>
    <t>Single Parent 3 Child</t>
  </si>
  <si>
    <t>Single Parent 4 Child</t>
  </si>
  <si>
    <t>Single Parent 5 Child</t>
  </si>
  <si>
    <t>Single Parent 6 Child</t>
  </si>
  <si>
    <t>Single Parent 7 Child</t>
  </si>
  <si>
    <t>Single Parent 8 Child</t>
  </si>
  <si>
    <t>Tax Scales for FY 2018/19</t>
  </si>
  <si>
    <t>Gross Annual Salary</t>
  </si>
  <si>
    <t>Company Tax Rate</t>
  </si>
  <si>
    <t>Extra Annual Overtime Income - Haircut</t>
  </si>
  <si>
    <t>Minimum APRA Rate for Other Mortgage</t>
  </si>
  <si>
    <t>Period in Months for Other Mortgage OO Calc</t>
  </si>
  <si>
    <t>Loan Term in Months</t>
  </si>
  <si>
    <t>Period in Months for Other Mortgage Inv Calc</t>
  </si>
  <si>
    <t>Living Expenses for NSR Calculation</t>
  </si>
  <si>
    <t>Adult Singles</t>
  </si>
  <si>
    <t>No Longer Used</t>
  </si>
  <si>
    <t>Adult Couples (or single with partner)</t>
  </si>
  <si>
    <t>Each Dependant Child</t>
  </si>
  <si>
    <t>Credit Card Monthly Min Payment - CFCU/Easystreet</t>
  </si>
  <si>
    <t>Credit Card Monthly Min Payment - Amigo</t>
  </si>
  <si>
    <t>Credit Card Monthly Min Payment - Other Banks</t>
  </si>
  <si>
    <t>Secured Credit Monthly Min Payment</t>
  </si>
  <si>
    <t>Interest Rate Used in ARA Calc</t>
  </si>
  <si>
    <t>NSR Calculated</t>
  </si>
  <si>
    <t>NSR Calculated Formatted</t>
  </si>
  <si>
    <t>NSR Required</t>
  </si>
  <si>
    <t>NSR Required Formatted</t>
  </si>
  <si>
    <t>NSR Test Result</t>
  </si>
  <si>
    <t>Max Loan Amount NSR Required</t>
  </si>
  <si>
    <t>Maximum Loan Payment Funds Available</t>
  </si>
  <si>
    <t>Monthly Maximum Loan Payment</t>
  </si>
  <si>
    <t>Calculated Max Loan Amount</t>
  </si>
  <si>
    <t>Adjusted Calculated Max Loan Amt</t>
  </si>
  <si>
    <t>Permitted Max Loan Amount</t>
  </si>
  <si>
    <t>DSR</t>
  </si>
  <si>
    <t>Blank Value</t>
  </si>
  <si>
    <t>Zero Value</t>
  </si>
  <si>
    <t>ARA</t>
  </si>
  <si>
    <t>Monthly ARA Surplus</t>
  </si>
  <si>
    <t>ARA Test Result</t>
  </si>
  <si>
    <t>Maximum Loan Amount Description</t>
  </si>
  <si>
    <t>No Investment Loan or Income Involved</t>
  </si>
  <si>
    <t>Loan Amount = Maximum Loan Amount</t>
  </si>
  <si>
    <t>Maximum Loan Amount Text</t>
  </si>
  <si>
    <t>Count</t>
  </si>
  <si>
    <t>Error Message</t>
  </si>
  <si>
    <t>Increase by &gt; 25%</t>
  </si>
  <si>
    <t>Note: Gross Annual Income capped at 20% above previous year</t>
  </si>
  <si>
    <t>HEM DATA</t>
  </si>
  <si>
    <t>Q4 2024</t>
  </si>
  <si>
    <t>Australia</t>
  </si>
  <si>
    <t>Couple with 1 child</t>
  </si>
  <si>
    <t>Couple with 2 children</t>
  </si>
  <si>
    <t>Couple with 3 or more children</t>
  </si>
  <si>
    <t>Single person</t>
  </si>
  <si>
    <t>Single parent with 1 child</t>
  </si>
  <si>
    <t>Single parent with 2 children</t>
  </si>
  <si>
    <t>Single parent with 3 or more children</t>
  </si>
  <si>
    <t>When bands change, need to Copy &amp; Paste Values Transposed into HEM Lookup Table CalculationsReference</t>
  </si>
  <si>
    <t>Change Log</t>
  </si>
  <si>
    <t>Version</t>
  </si>
  <si>
    <t>Date</t>
  </si>
  <si>
    <t>Change</t>
  </si>
  <si>
    <r>
      <t xml:space="preserve">Adjust formula for ARA. Use Applicable_Living _Expenses instead of Calculated Living Expenses.
</t>
    </r>
    <r>
      <rPr>
        <b/>
        <sz val="10"/>
        <rFont val="Calibri"/>
        <family val="2"/>
        <scheme val="minor"/>
      </rPr>
      <t>ARA=Total_Net_Annual_Income-Applicable_Living_Expenses-Other_Commits_Total_Annual</t>
    </r>
  </si>
  <si>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</si>
  <si>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</si>
  <si>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</si>
  <si>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</si>
  <si>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The Rental Income is not used in calculating the Taxable Income.  Instead 80% of the Rental Income is taken to be after tax. This is an industry standard.</t>
  </si>
  <si>
    <t>Other Mortgage Repayments now calculated using APRA requirements - 7.37% over 30 years Owner Occupied, 25 years Investment.</t>
  </si>
  <si>
    <t>Add selectable Loan Term period for the Other Mortgage Repayment calculation (changed in 10.5).</t>
  </si>
  <si>
    <t>Update to latest Q3 2015 HEM Monthly Living Expenses table.</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</si>
  <si>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</si>
  <si>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</si>
  <si>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</si>
  <si>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</si>
  <si>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</si>
  <si>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Fix issue from Q4 HEM new bands. Adjust Max Loan to look at Living Exp Overide</t>
  </si>
  <si>
    <t>Update to latest Q1 2017 HEM Monthly Living Expenses table.</t>
  </si>
  <si>
    <t>Update to latest Q2 2017 HEM Monthly Living Expenses table.</t>
  </si>
  <si>
    <t>Copy from Mortgage Loan Calaculator, hide Other Mortgage Loan Terms &amp; unfreeze Monthly Payments.
ARA limit is $0 in the Help screen.
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</si>
  <si>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</si>
  <si>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</si>
  <si>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</si>
  <si>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</si>
  <si>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</si>
  <si>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Update to latest Q2 2018 HEM Monthly Living Expenses table. Note some lower incomes have $0 living expenses to force manual input.</t>
  </si>
  <si>
    <t>Change other CFCU Credit Card Repayment Percent from 3% to 3.2%. Add new Other Credit Card Repayment Percents for Amigo (3.5%) &amp; other banks (3.75%). Add option to select if loan is for a CFCU or Amigo Credit Card.</t>
  </si>
  <si>
    <t>Update to latest Q4 2018 HEM Monthly Living Expenses table.</t>
  </si>
  <si>
    <t>Update to latest Q1 2019 HEM Monthly Living Expenses table.</t>
  </si>
  <si>
    <t>Update to affordability buffer from 2.25% to 2.5% plus HEM Q2 2019</t>
  </si>
  <si>
    <t xml:space="preserve">HEM Q4 2019 </t>
  </si>
  <si>
    <t>HEM Q1 2020</t>
  </si>
  <si>
    <t>HEM Q2 &amp; New tax rates</t>
  </si>
  <si>
    <t>HEM Q4 2020</t>
  </si>
  <si>
    <t>HEM Q1 2021</t>
  </si>
  <si>
    <t>HEM Q2 2021</t>
  </si>
  <si>
    <t>DTI and LTI Update</t>
  </si>
  <si>
    <t>DTI and LTI update to include non taxable income</t>
  </si>
  <si>
    <t>HEM Q1 2023 - updated to 13.14 version to match Mortgage Cal</t>
  </si>
  <si>
    <t>Remove rental income from calcuating HEM figures.</t>
  </si>
  <si>
    <t>HEM Q4 2023 updated to ver 13.15</t>
  </si>
  <si>
    <t xml:space="preserve">HEM Q1 2024 and 24/25 Tax tables. </t>
  </si>
  <si>
    <t>HEM Q4 2024</t>
  </si>
  <si>
    <t>Update Values in White Cells Quarterly</t>
  </si>
  <si>
    <t>Head in workforce</t>
  </si>
  <si>
    <t>Other than
Housing
$ per week</t>
  </si>
  <si>
    <t>HPI (Weekly) June Qtr 2013</t>
  </si>
  <si>
    <t>HPI</t>
  </si>
  <si>
    <t>monthly</t>
  </si>
  <si>
    <t>HPI (Monthly)</t>
  </si>
  <si>
    <t>Source:</t>
  </si>
  <si>
    <t>http://melbourneinstitute.com/miaesr/publications/indicators/poverty-lines-australia.html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</si>
</sst>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quot;$&quot;#,##0;[Red]\-&quot;$&quot;#,##0;"/>
    <numFmt numFmtId="176" formatCode="#,##0.00_ ;[Red]\-#,##0.00\ "/>
  </numFmts>
  <fonts count="32">
    <font>
      <sz val="10"/>
      <name val="Arial"/>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b/>
      <sz val="11"/>
      <color rgb="FF000000"/>
      <name val="Calibri"/>
      <family val="2"/>
    </font>
    <font>
      <sz val="11"/>
      <color rgb="FF000000"/>
      <name val="Calibri"/>
      <family val="2"/>
    </font>
    <font>
      <u/>
      <sz val="10"/>
      <color theme="10"/>
      <name val="Arial"/>
      <family val="2"/>
    </font>
    <font>
      <sz val="8"/>
      <color indexed="81"/>
      <name val="Tahoma"/>
      <family val="2"/>
    </font>
    <font>
      <sz val="9"/>
      <name val="Arial"/>
      <family val="2"/>
    </font>
    <font>
      <b/>
      <sz val="11"/>
      <color theme="0"/>
      <name val="Calibri"/>
      <family val="2"/>
      <scheme val="minor"/>
    </font>
    <font>
      <sz val="11"/>
      <color theme="0"/>
      <name val="Calibri"/>
      <family val="2"/>
      <scheme val="minor"/>
    </font>
    <font>
      <sz val="10"/>
      <name val="Calibri"/>
      <family val="2"/>
      <scheme val="minor"/>
    </font>
    <font>
      <b/>
      <sz val="10"/>
      <name val="Calibri"/>
      <family val="2"/>
      <scheme val="minor"/>
    </font>
    <font>
      <b/>
      <sz val="22"/>
      <color theme="3"/>
      <name val="Calibri"/>
      <family val="2"/>
      <scheme val="minor"/>
    </font>
    <font>
      <b/>
      <sz val="11"/>
      <color theme="3"/>
      <name val="Times New Roman"/>
      <family val="1"/>
    </font>
    <font>
      <sz val="11"/>
      <color theme="3"/>
      <name val="Calibri"/>
      <family val="2"/>
      <scheme val="minor"/>
    </font>
    <font>
      <b/>
      <sz val="20"/>
      <color theme="3"/>
      <name val="Calibri"/>
      <family val="2"/>
      <scheme val="minor"/>
    </font>
    <font>
      <sz val="9"/>
      <color indexed="81"/>
      <name val="Tahoma"/>
      <family val="2"/>
    </font>
    <font>
      <b/>
      <sz val="9"/>
      <color indexed="81"/>
      <name val="Tahoma"/>
      <family val="2"/>
    </font>
    <font>
      <sz val="9"/>
      <color theme="3"/>
      <name val="Calibri"/>
      <family val="2"/>
      <scheme val="minor"/>
    </font>
    <font>
      <b/>
      <sz val="10"/>
      <name val="Arial Narrow"/>
      <family val="2"/>
    </font>
    <font>
      <sz val="10"/>
      <color theme="8" tint="-0.249977111117893"/>
      <name val="Calibri"/>
      <family val="2"/>
      <scheme val="minor"/>
    </font>
    <font>
      <b/>
      <sz val="11"/>
      <color theme="4"/>
      <name val="Calibri"/>
      <family val="2"/>
      <scheme val="minor"/>
    </font>
    <font>
      <b/>
      <sz val="11"/>
      <color theme="4"/>
      <name val="Times New Roman"/>
      <family val="1"/>
    </font>
    <font>
      <sz val="10"/>
      <color theme="4"/>
      <name val="Arial"/>
      <family val="2"/>
    </font>
    <font>
      <b/>
      <sz val="14"/>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4"/>
      </patternFill>
    </fill>
    <fill>
      <patternFill patternType="solid">
        <fgColor theme="4" tint="0.39997558519241921"/>
        <bgColor indexed="65"/>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16" fillId="14" borderId="0" applyNumberFormat="0" applyBorder="0" applyAlignment="0" applyProtection="0"/>
    <xf numFmtId="0" fontId="16" fillId="15" borderId="0" applyNumberFormat="0" applyBorder="0" applyAlignment="0" applyProtection="0"/>
  </cellStyleXfs>
  <cellXfs count="520">
    <xf numFmtId="0" fontId="0" fillId="0" borderId="0" xfId="0"/>
    <xf numFmtId="0" fontId="2" fillId="2" borderId="1" xfId="0" quotePrefix="1" applyFont="1" applyFill="1" applyBorder="1" applyAlignment="1">
      <alignment horizontal="center" wrapText="1"/>
    </xf>
    <xf numFmtId="0" fontId="0" fillId="3" borderId="9" xfId="0" applyFill="1" applyBorder="1" applyAlignment="1">
      <alignment horizontal="right"/>
    </xf>
    <xf numFmtId="0" fontId="0" fillId="3" borderId="1" xfId="0" applyFill="1" applyBorder="1" applyAlignment="1">
      <alignment horizontal="right"/>
    </xf>
    <xf numFmtId="0" fontId="0" fillId="0" borderId="0" xfId="0" applyProtection="1">
      <protection hidden="1"/>
    </xf>
    <xf numFmtId="0" fontId="5" fillId="2" borderId="9" xfId="0" quotePrefix="1" applyFont="1" applyFill="1" applyBorder="1" applyAlignment="1" applyProtection="1">
      <alignment horizontal="center"/>
      <protection hidden="1"/>
    </xf>
    <xf numFmtId="0" fontId="6" fillId="0" borderId="0" xfId="0" applyFont="1" applyProtection="1">
      <protection hidden="1"/>
    </xf>
    <xf numFmtId="0" fontId="7" fillId="0" borderId="5" xfId="0" applyFont="1" applyBorder="1" applyAlignment="1" applyProtection="1">
      <alignment horizontal="left"/>
      <protection hidden="1"/>
    </xf>
    <xf numFmtId="0" fontId="2" fillId="0" borderId="0" xfId="0" applyFont="1" applyProtection="1">
      <protection hidden="1"/>
    </xf>
    <xf numFmtId="0" fontId="2" fillId="2" borderId="1" xfId="0" quotePrefix="1" applyFont="1" applyFill="1" applyBorder="1" applyAlignment="1" applyProtection="1">
      <alignment horizontal="left"/>
      <protection hidden="1"/>
    </xf>
    <xf numFmtId="0" fontId="2" fillId="2" borderId="10" xfId="0" applyFont="1" applyFill="1" applyBorder="1" applyAlignment="1" applyProtection="1">
      <alignment horizontal="left"/>
      <protection hidden="1"/>
    </xf>
    <xf numFmtId="0" fontId="2" fillId="2" borderId="1" xfId="0" quotePrefix="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2" fillId="2" borderId="1" xfId="0" quotePrefix="1" applyFont="1" applyFill="1" applyBorder="1" applyAlignment="1" applyProtection="1">
      <alignment horizontal="left" wrapText="1"/>
      <protection hidden="1"/>
    </xf>
    <xf numFmtId="165" fontId="0" fillId="3" borderId="1" xfId="2" applyNumberFormat="1" applyFont="1" applyFill="1" applyBorder="1" applyProtection="1">
      <protection hidden="1"/>
    </xf>
    <xf numFmtId="0" fontId="2" fillId="2" borderId="1" xfId="0" applyFont="1" applyFill="1" applyBorder="1" applyAlignment="1" applyProtection="1">
      <alignment horizontal="left" wrapText="1"/>
      <protection hidden="1"/>
    </xf>
    <xf numFmtId="165" fontId="2" fillId="3" borderId="1" xfId="2" applyNumberFormat="1" applyFont="1" applyFill="1" applyBorder="1" applyProtection="1">
      <protection hidden="1"/>
    </xf>
    <xf numFmtId="10" fontId="0" fillId="3" borderId="1" xfId="4"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4"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7" fillId="0" borderId="5" xfId="0" applyFont="1" applyBorder="1" applyProtection="1">
      <protection hidden="1"/>
    </xf>
    <xf numFmtId="44" fontId="0" fillId="0" borderId="0" xfId="2" applyFont="1" applyAlignment="1">
      <alignment horizontal="center"/>
    </xf>
    <xf numFmtId="0" fontId="1" fillId="0" borderId="0" xfId="3" applyAlignment="1">
      <alignment horizontal="center"/>
    </xf>
    <xf numFmtId="6" fontId="11" fillId="0" borderId="0" xfId="3" applyNumberFormat="1" applyFont="1" applyAlignment="1">
      <alignment horizontal="center"/>
    </xf>
    <xf numFmtId="0" fontId="2" fillId="0" borderId="0" xfId="3" applyFont="1" applyAlignment="1">
      <alignment horizontal="center"/>
    </xf>
    <xf numFmtId="0" fontId="2" fillId="0" borderId="0" xfId="3" applyFont="1" applyAlignment="1">
      <alignment horizontal="left"/>
    </xf>
    <xf numFmtId="44" fontId="1" fillId="5" borderId="12" xfId="2"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2" applyNumberFormat="1" applyFont="1" applyFill="1" applyBorder="1" applyProtection="1">
      <protection locked="0"/>
    </xf>
    <xf numFmtId="44" fontId="1" fillId="0" borderId="0" xfId="2" applyFill="1" applyBorder="1" applyAlignment="1">
      <alignment horizontal="right"/>
    </xf>
    <xf numFmtId="44" fontId="0" fillId="0" borderId="0" xfId="0" applyNumberFormat="1" applyProtection="1">
      <protection hidden="1"/>
    </xf>
    <xf numFmtId="42" fontId="1" fillId="0" borderId="0" xfId="3" applyNumberFormat="1" applyAlignment="1">
      <alignment horizontal="right"/>
    </xf>
    <xf numFmtId="0" fontId="1" fillId="0" borderId="0" xfId="0" quotePrefix="1" applyFont="1"/>
    <xf numFmtId="164" fontId="1" fillId="7" borderId="1" xfId="2" applyNumberFormat="1" applyFont="1" applyFill="1" applyBorder="1" applyProtection="1"/>
    <xf numFmtId="42" fontId="0" fillId="0" borderId="0" xfId="0" applyNumberFormat="1"/>
    <xf numFmtId="0" fontId="2" fillId="8" borderId="1" xfId="0" quotePrefix="1" applyFont="1" applyFill="1" applyBorder="1" applyAlignment="1" applyProtection="1">
      <alignment horizontal="left" vertical="top" wrapText="1"/>
      <protection hidden="1"/>
    </xf>
    <xf numFmtId="0" fontId="2" fillId="8" borderId="1" xfId="0" quotePrefix="1" applyFont="1" applyFill="1" applyBorder="1" applyAlignment="1" applyProtection="1">
      <alignment horizontal="center" vertical="top" wrapText="1"/>
      <protection hidden="1"/>
    </xf>
    <xf numFmtId="0" fontId="1" fillId="2" borderId="11" xfId="0" applyFont="1" applyFill="1" applyBorder="1"/>
    <xf numFmtId="0" fontId="2" fillId="0" borderId="5" xfId="0" applyFont="1" applyBorder="1" applyAlignment="1" applyProtection="1">
      <alignment horizontal="center"/>
      <protection hidden="1"/>
    </xf>
    <xf numFmtId="0" fontId="2" fillId="9" borderId="1" xfId="0" applyFont="1" applyFill="1" applyBorder="1" applyAlignment="1" applyProtection="1">
      <alignment horizontal="left" wrapText="1"/>
      <protection hidden="1"/>
    </xf>
    <xf numFmtId="0" fontId="1" fillId="8" borderId="1"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165" fontId="2" fillId="4" borderId="9" xfId="2" applyNumberFormat="1" applyFont="1" applyFill="1" applyBorder="1" applyAlignment="1" applyProtection="1">
      <alignment horizontal="right"/>
      <protection hidden="1"/>
    </xf>
    <xf numFmtId="0" fontId="2" fillId="8" borderId="11" xfId="0" applyFont="1" applyFill="1" applyBorder="1" applyAlignment="1" applyProtection="1">
      <alignment horizontal="left"/>
      <protection hidden="1"/>
    </xf>
    <xf numFmtId="170" fontId="1" fillId="0" borderId="1" xfId="2" applyNumberFormat="1" applyFont="1" applyFill="1" applyBorder="1" applyProtection="1"/>
    <xf numFmtId="1" fontId="2" fillId="0" borderId="0" xfId="0" applyNumberFormat="1" applyFont="1"/>
    <xf numFmtId="0" fontId="0" fillId="0" borderId="3" xfId="0" applyBorder="1" applyProtection="1">
      <protection hidden="1"/>
    </xf>
    <xf numFmtId="0" fontId="5" fillId="8" borderId="9" xfId="0" quotePrefix="1" applyFont="1" applyFill="1" applyBorder="1" applyAlignment="1" applyProtection="1">
      <alignment horizontal="center"/>
      <protection hidden="1"/>
    </xf>
    <xf numFmtId="0" fontId="1" fillId="8" borderId="1" xfId="0" applyFont="1" applyFill="1" applyBorder="1" applyProtection="1">
      <protection hidden="1"/>
    </xf>
    <xf numFmtId="0" fontId="6" fillId="0" borderId="5" xfId="0" applyFont="1" applyBorder="1" applyProtection="1">
      <protection hidden="1"/>
    </xf>
    <xf numFmtId="0" fontId="0" fillId="0" borderId="0" xfId="0" applyAlignment="1" applyProtection="1">
      <alignment wrapText="1"/>
      <protection hidden="1"/>
    </xf>
    <xf numFmtId="0" fontId="1" fillId="8"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12" fillId="0" borderId="0" xfId="5" applyAlignment="1" applyProtection="1"/>
    <xf numFmtId="0" fontId="2" fillId="0" borderId="0" xfId="0" applyFont="1"/>
    <xf numFmtId="0" fontId="1" fillId="6" borderId="0" xfId="3" applyFill="1" applyAlignment="1">
      <alignment horizontal="center"/>
    </xf>
    <xf numFmtId="0" fontId="1" fillId="6" borderId="0" xfId="3" applyFill="1" applyAlignment="1">
      <alignment horizontal="center" wrapText="1"/>
    </xf>
    <xf numFmtId="0" fontId="2" fillId="6" borderId="0" xfId="3" applyFont="1" applyFill="1" applyAlignment="1">
      <alignment horizontal="center"/>
    </xf>
    <xf numFmtId="44" fontId="2" fillId="6" borderId="0" xfId="2" applyFont="1" applyFill="1" applyAlignment="1">
      <alignment horizontal="center"/>
    </xf>
    <xf numFmtId="44" fontId="1" fillId="6" borderId="0" xfId="2" applyFont="1" applyFill="1" applyAlignment="1">
      <alignment horizontal="center" wrapText="1"/>
    </xf>
    <xf numFmtId="44" fontId="1" fillId="6" borderId="0" xfId="2" applyFill="1" applyAlignment="1">
      <alignment horizontal="center"/>
    </xf>
    <xf numFmtId="0" fontId="0" fillId="6" borderId="0" xfId="0" applyFill="1"/>
    <xf numFmtId="44" fontId="0" fillId="0" borderId="1" xfId="2" applyFont="1" applyBorder="1" applyAlignment="1">
      <alignment vertical="center"/>
    </xf>
    <xf numFmtId="0" fontId="1" fillId="6" borderId="1" xfId="3" applyFill="1" applyBorder="1" applyAlignment="1">
      <alignment horizontal="center" vertical="center"/>
    </xf>
    <xf numFmtId="0" fontId="1" fillId="6" borderId="1" xfId="3" applyFill="1" applyBorder="1" applyAlignment="1">
      <alignment horizontal="center" vertical="center" wrapText="1"/>
    </xf>
    <xf numFmtId="0" fontId="1" fillId="6" borderId="9" xfId="3" applyFill="1" applyBorder="1" applyAlignment="1">
      <alignment horizontal="center" vertical="center"/>
    </xf>
    <xf numFmtId="0" fontId="2" fillId="6" borderId="16" xfId="0" applyFont="1" applyFill="1" applyBorder="1" applyAlignment="1">
      <alignment horizontal="center" vertical="center" wrapText="1"/>
    </xf>
    <xf numFmtId="0" fontId="2" fillId="0" borderId="0" xfId="0" quotePrefix="1" applyFont="1" applyAlignment="1" applyProtection="1">
      <alignment horizontal="center"/>
      <protection hidden="1"/>
    </xf>
    <xf numFmtId="0" fontId="2" fillId="8" borderId="11" xfId="0" quotePrefix="1" applyFont="1" applyFill="1" applyBorder="1" applyAlignment="1" applyProtection="1">
      <alignment horizontal="left"/>
      <protection hidden="1"/>
    </xf>
    <xf numFmtId="0" fontId="2" fillId="8" borderId="11" xfId="0" quotePrefix="1" applyFont="1" applyFill="1" applyBorder="1" applyAlignment="1" applyProtection="1">
      <alignment horizontal="center"/>
      <protection hidden="1"/>
    </xf>
    <xf numFmtId="0" fontId="2" fillId="8" borderId="4" xfId="0" applyFont="1" applyFill="1" applyBorder="1" applyAlignment="1" applyProtection="1">
      <alignment horizontal="center"/>
      <protection hidden="1"/>
    </xf>
    <xf numFmtId="0" fontId="5" fillId="0" borderId="3" xfId="0" quotePrefix="1" applyFont="1" applyBorder="1" applyAlignment="1" applyProtection="1">
      <alignment horizontal="center" vertical="center"/>
      <protection hidden="1"/>
    </xf>
    <xf numFmtId="0" fontId="5" fillId="0" borderId="14" xfId="0" quotePrefix="1" applyFont="1" applyBorder="1" applyAlignment="1" applyProtection="1">
      <alignment horizontal="center" vertical="center"/>
      <protection hidden="1"/>
    </xf>
    <xf numFmtId="0" fontId="2" fillId="8" borderId="13" xfId="0" applyFont="1" applyFill="1" applyBorder="1" applyAlignment="1" applyProtection="1">
      <alignment horizontal="left"/>
      <protection hidden="1"/>
    </xf>
    <xf numFmtId="0" fontId="2" fillId="2" borderId="10" xfId="0" quotePrefix="1" applyFont="1" applyFill="1" applyBorder="1" applyAlignment="1" applyProtection="1">
      <alignment horizontal="left"/>
      <protection hidden="1"/>
    </xf>
    <xf numFmtId="0" fontId="1" fillId="0" borderId="0" xfId="0" quotePrefix="1" applyFont="1" applyAlignment="1" applyProtection="1">
      <alignment horizontal="center" vertical="center" wrapText="1"/>
      <protection hidden="1"/>
    </xf>
    <xf numFmtId="0" fontId="2" fillId="0" borderId="0" xfId="0" quotePrefix="1" applyFont="1" applyAlignment="1" applyProtection="1">
      <alignment horizontal="left"/>
      <protection hidden="1"/>
    </xf>
    <xf numFmtId="0" fontId="2" fillId="8" borderId="1" xfId="0" applyFont="1" applyFill="1" applyBorder="1" applyAlignment="1" applyProtection="1">
      <alignment horizontal="center" vertical="top" wrapText="1"/>
      <protection hidden="1"/>
    </xf>
    <xf numFmtId="0" fontId="2" fillId="8" borderId="2" xfId="0" applyFont="1" applyFill="1" applyBorder="1" applyProtection="1">
      <protection hidden="1"/>
    </xf>
    <xf numFmtId="0" fontId="2" fillId="8" borderId="3" xfId="0" applyFont="1" applyFill="1" applyBorder="1" applyProtection="1">
      <protection hidden="1"/>
    </xf>
    <xf numFmtId="0" fontId="1" fillId="8" borderId="11" xfId="0" quotePrefix="1" applyFont="1" applyFill="1" applyBorder="1" applyAlignment="1" applyProtection="1">
      <alignment wrapText="1"/>
      <protection hidden="1"/>
    </xf>
    <xf numFmtId="0" fontId="2" fillId="8" borderId="13" xfId="0" applyFont="1" applyFill="1" applyBorder="1" applyProtection="1">
      <protection hidden="1"/>
    </xf>
    <xf numFmtId="0" fontId="2" fillId="8" borderId="9" xfId="0" applyFont="1" applyFill="1" applyBorder="1" applyProtection="1">
      <protection hidden="1"/>
    </xf>
    <xf numFmtId="0" fontId="2" fillId="8" borderId="11" xfId="0" applyFont="1" applyFill="1" applyBorder="1" applyProtection="1">
      <protection hidden="1"/>
    </xf>
    <xf numFmtId="0" fontId="2" fillId="8" borderId="2" xfId="0" quotePrefix="1" applyFont="1" applyFill="1" applyBorder="1" applyProtection="1">
      <protection hidden="1"/>
    </xf>
    <xf numFmtId="0" fontId="2" fillId="8" borderId="3" xfId="0" quotePrefix="1" applyFont="1" applyFill="1" applyBorder="1" applyProtection="1">
      <protection hidden="1"/>
    </xf>
    <xf numFmtId="0" fontId="2" fillId="8" borderId="4" xfId="0" quotePrefix="1" applyFont="1" applyFill="1" applyBorder="1" applyProtection="1">
      <protection hidden="1"/>
    </xf>
    <xf numFmtId="0" fontId="2" fillId="8" borderId="8" xfId="0" applyFont="1" applyFill="1" applyBorder="1" applyAlignment="1" applyProtection="1">
      <alignment horizontal="center"/>
      <protection hidden="1"/>
    </xf>
    <xf numFmtId="3" fontId="2" fillId="11" borderId="1" xfId="0" quotePrefix="1" applyNumberFormat="1" applyFont="1" applyFill="1" applyBorder="1" applyAlignment="1" applyProtection="1">
      <alignment horizontal="left" vertical="center"/>
      <protection hidden="1"/>
    </xf>
    <xf numFmtId="0" fontId="2" fillId="8" borderId="5" xfId="0" quotePrefix="1"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0" fillId="8" borderId="0" xfId="0" applyFill="1"/>
    <xf numFmtId="0" fontId="2" fillId="8" borderId="5" xfId="0" applyFont="1" applyFill="1" applyBorder="1" applyAlignment="1" applyProtection="1">
      <alignment horizontal="left"/>
      <protection hidden="1"/>
    </xf>
    <xf numFmtId="0" fontId="2" fillId="7" borderId="11" xfId="0" applyFont="1" applyFill="1" applyBorder="1" applyProtection="1">
      <protection hidden="1"/>
    </xf>
    <xf numFmtId="0" fontId="2" fillId="7" borderId="13" xfId="0" applyFont="1" applyFill="1" applyBorder="1" applyProtection="1">
      <protection hidden="1"/>
    </xf>
    <xf numFmtId="0" fontId="2" fillId="7" borderId="11" xfId="0" applyFont="1" applyFill="1" applyBorder="1" applyAlignment="1" applyProtection="1">
      <alignment horizontal="left"/>
      <protection hidden="1"/>
    </xf>
    <xf numFmtId="0" fontId="2" fillId="7" borderId="13" xfId="0" applyFont="1" applyFill="1" applyBorder="1" applyAlignment="1" applyProtection="1">
      <alignment horizontal="left"/>
      <protection hidden="1"/>
    </xf>
    <xf numFmtId="0" fontId="2" fillId="7" borderId="9" xfId="0" applyFont="1" applyFill="1" applyBorder="1" applyAlignment="1" applyProtection="1">
      <alignment horizontal="left"/>
      <protection hidden="1"/>
    </xf>
    <xf numFmtId="0" fontId="2" fillId="7" borderId="9" xfId="0" applyFont="1" applyFill="1" applyBorder="1" applyProtection="1">
      <protection hidden="1"/>
    </xf>
    <xf numFmtId="0" fontId="2" fillId="7" borderId="2" xfId="0" quotePrefix="1" applyFont="1" applyFill="1" applyBorder="1" applyProtection="1">
      <protection hidden="1"/>
    </xf>
    <xf numFmtId="0" fontId="2" fillId="7" borderId="3" xfId="0" quotePrefix="1" applyFont="1" applyFill="1" applyBorder="1" applyProtection="1">
      <protection hidden="1"/>
    </xf>
    <xf numFmtId="0" fontId="2" fillId="7" borderId="4" xfId="0" quotePrefix="1" applyFont="1" applyFill="1" applyBorder="1" applyProtection="1">
      <protection hidden="1"/>
    </xf>
    <xf numFmtId="0" fontId="2" fillId="7" borderId="2" xfId="0" applyFont="1" applyFill="1" applyBorder="1" applyProtection="1">
      <protection hidden="1"/>
    </xf>
    <xf numFmtId="0" fontId="2" fillId="7" borderId="3" xfId="0" applyFont="1" applyFill="1" applyBorder="1" applyProtection="1">
      <protection hidden="1"/>
    </xf>
    <xf numFmtId="0" fontId="2" fillId="7" borderId="4" xfId="0" applyFont="1" applyFill="1" applyBorder="1" applyAlignment="1" applyProtection="1">
      <alignment horizontal="center"/>
      <protection hidden="1"/>
    </xf>
    <xf numFmtId="1" fontId="2" fillId="7" borderId="3" xfId="0" applyNumberFormat="1" applyFont="1" applyFill="1" applyBorder="1"/>
    <xf numFmtId="1" fontId="2" fillId="7" borderId="4" xfId="0" applyNumberFormat="1" applyFont="1" applyFill="1" applyBorder="1"/>
    <xf numFmtId="0" fontId="0" fillId="7" borderId="5" xfId="0" applyFill="1" applyBorder="1" applyProtection="1">
      <protection hidden="1"/>
    </xf>
    <xf numFmtId="0" fontId="0" fillId="7" borderId="8" xfId="0" applyFill="1" applyBorder="1" applyProtection="1">
      <protection hidden="1"/>
    </xf>
    <xf numFmtId="0" fontId="2" fillId="7" borderId="1" xfId="0" quotePrefix="1" applyFont="1" applyFill="1" applyBorder="1" applyAlignment="1" applyProtection="1">
      <alignment horizontal="left" vertical="top" wrapText="1"/>
      <protection hidden="1"/>
    </xf>
    <xf numFmtId="0" fontId="1" fillId="7" borderId="11" xfId="0" quotePrefix="1" applyFont="1" applyFill="1" applyBorder="1" applyAlignment="1" applyProtection="1">
      <alignment wrapText="1"/>
      <protection hidden="1"/>
    </xf>
    <xf numFmtId="0" fontId="2" fillId="7" borderId="1" xfId="0" applyFont="1" applyFill="1" applyBorder="1" applyAlignment="1" applyProtection="1">
      <alignment horizontal="left" vertical="top" wrapText="1"/>
      <protection hidden="1"/>
    </xf>
    <xf numFmtId="0" fontId="2" fillId="7" borderId="1" xfId="0" quotePrefix="1" applyFont="1" applyFill="1" applyBorder="1" applyAlignment="1" applyProtection="1">
      <alignment horizontal="center" vertical="top" wrapText="1"/>
      <protection hidden="1"/>
    </xf>
    <xf numFmtId="0" fontId="2" fillId="7" borderId="1" xfId="0" applyFont="1" applyFill="1" applyBorder="1" applyAlignment="1" applyProtection="1">
      <alignment horizontal="center" vertical="top" wrapText="1"/>
      <protection hidden="1"/>
    </xf>
    <xf numFmtId="0" fontId="1" fillId="7" borderId="5" xfId="0" applyFont="1" applyFill="1" applyBorder="1" applyProtection="1">
      <protection hidden="1"/>
    </xf>
    <xf numFmtId="0" fontId="0" fillId="7" borderId="0" xfId="0" applyFill="1"/>
    <xf numFmtId="0" fontId="2" fillId="7" borderId="5" xfId="0" quotePrefix="1" applyFont="1" applyFill="1" applyBorder="1" applyAlignment="1" applyProtection="1">
      <alignment horizontal="left"/>
      <protection hidden="1"/>
    </xf>
    <xf numFmtId="0" fontId="2" fillId="7" borderId="5" xfId="0" applyFont="1" applyFill="1" applyBorder="1" applyAlignment="1" applyProtection="1">
      <alignment horizontal="left"/>
      <protection hidden="1"/>
    </xf>
    <xf numFmtId="0" fontId="2" fillId="7" borderId="7" xfId="0" quotePrefix="1" applyFont="1" applyFill="1" applyBorder="1" applyAlignment="1" applyProtection="1">
      <alignment horizontal="left"/>
      <protection hidden="1"/>
    </xf>
    <xf numFmtId="0" fontId="1" fillId="11" borderId="1" xfId="0" applyFont="1" applyFill="1" applyBorder="1" applyAlignment="1" applyProtection="1">
      <alignment horizontal="left"/>
      <protection locked="0" hidden="1"/>
    </xf>
    <xf numFmtId="0" fontId="0" fillId="8" borderId="0" xfId="0" applyFill="1" applyProtection="1">
      <protection hidden="1"/>
    </xf>
    <xf numFmtId="0" fontId="0" fillId="8" borderId="6" xfId="0" applyFill="1" applyBorder="1" applyProtection="1">
      <protection hidden="1"/>
    </xf>
    <xf numFmtId="0" fontId="0" fillId="8" borderId="3" xfId="0" applyFill="1" applyBorder="1" applyProtection="1">
      <protection hidden="1"/>
    </xf>
    <xf numFmtId="0" fontId="0" fillId="8" borderId="14" xfId="0" applyFill="1" applyBorder="1" applyProtection="1">
      <protection hidden="1"/>
    </xf>
    <xf numFmtId="0" fontId="0" fillId="8" borderId="8" xfId="0" applyFill="1" applyBorder="1" applyProtection="1">
      <protection hidden="1"/>
    </xf>
    <xf numFmtId="0" fontId="0" fillId="7" borderId="14" xfId="0" applyFill="1" applyBorder="1" applyProtection="1">
      <protection hidden="1"/>
    </xf>
    <xf numFmtId="0" fontId="1" fillId="8" borderId="2" xfId="0" applyFont="1" applyFill="1" applyBorder="1" applyProtection="1">
      <protection hidden="1"/>
    </xf>
    <xf numFmtId="0" fontId="0" fillId="8" borderId="3" xfId="0" applyFill="1" applyBorder="1"/>
    <xf numFmtId="0" fontId="1" fillId="8" borderId="6" xfId="0" quotePrefix="1" applyFont="1" applyFill="1" applyBorder="1" applyAlignment="1" applyProtection="1">
      <alignment vertical="center" wrapText="1"/>
      <protection hidden="1"/>
    </xf>
    <xf numFmtId="0" fontId="2" fillId="2" borderId="1"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0" fontId="1" fillId="8" borderId="2" xfId="0" applyFont="1" applyFill="1" applyBorder="1" applyAlignment="1" applyProtection="1">
      <alignment horizontal="left"/>
      <protection hidden="1"/>
    </xf>
    <xf numFmtId="0" fontId="1" fillId="8" borderId="1" xfId="0" applyFont="1" applyFill="1" applyBorder="1" applyAlignment="1" applyProtection="1">
      <alignment vertical="top"/>
      <protection hidden="1"/>
    </xf>
    <xf numFmtId="0" fontId="6" fillId="0" borderId="0" xfId="0" applyFont="1" applyAlignment="1" applyProtection="1">
      <alignment vertical="top"/>
      <protection hidden="1"/>
    </xf>
    <xf numFmtId="0" fontId="2" fillId="7" borderId="11" xfId="0" quotePrefix="1" applyFont="1" applyFill="1" applyBorder="1" applyAlignment="1" applyProtection="1">
      <alignment horizontal="left"/>
      <protection hidden="1"/>
    </xf>
    <xf numFmtId="0" fontId="0" fillId="7" borderId="7" xfId="0" applyFill="1" applyBorder="1" applyProtection="1">
      <protection hidden="1"/>
    </xf>
    <xf numFmtId="0" fontId="0" fillId="7" borderId="0" xfId="0" applyFill="1" applyProtection="1">
      <protection hidden="1"/>
    </xf>
    <xf numFmtId="0" fontId="0" fillId="7" borderId="6" xfId="0" applyFill="1" applyBorder="1" applyProtection="1">
      <protection hidden="1"/>
    </xf>
    <xf numFmtId="0" fontId="2" fillId="7" borderId="11" xfId="0" quotePrefix="1" applyFont="1" applyFill="1" applyBorder="1" applyAlignment="1" applyProtection="1">
      <alignment horizontal="center"/>
      <protection hidden="1"/>
    </xf>
    <xf numFmtId="0" fontId="2" fillId="7" borderId="8" xfId="0" applyFont="1" applyFill="1" applyBorder="1" applyAlignment="1" applyProtection="1">
      <alignment horizontal="center"/>
      <protection hidden="1"/>
    </xf>
    <xf numFmtId="0" fontId="1" fillId="8" borderId="11" xfId="0" quotePrefix="1" applyFont="1" applyFill="1" applyBorder="1" applyProtection="1">
      <protection hidden="1"/>
    </xf>
    <xf numFmtId="0" fontId="1" fillId="8" borderId="11" xfId="0" applyFont="1" applyFill="1" applyBorder="1" applyAlignment="1" applyProtection="1">
      <alignment horizontal="left"/>
      <protection hidden="1"/>
    </xf>
    <xf numFmtId="0" fontId="1" fillId="8" borderId="0" xfId="0" quotePrefix="1" applyFont="1" applyFill="1" applyAlignment="1" applyProtection="1">
      <alignment horizontal="center" vertical="center" wrapText="1"/>
      <protection hidden="1"/>
    </xf>
    <xf numFmtId="0" fontId="1" fillId="2" borderId="9" xfId="0" applyFont="1" applyFill="1" applyBorder="1" applyAlignment="1" applyProtection="1">
      <alignment horizontal="left"/>
      <protection hidden="1"/>
    </xf>
    <xf numFmtId="44" fontId="0" fillId="12" borderId="1" xfId="2" applyFont="1" applyFill="1" applyBorder="1" applyAlignment="1">
      <alignment vertical="center"/>
    </xf>
    <xf numFmtId="44" fontId="14" fillId="13" borderId="0" xfId="0" applyNumberFormat="1" applyFont="1" applyFill="1"/>
    <xf numFmtId="0" fontId="15" fillId="15" borderId="0" xfId="7" applyFont="1"/>
    <xf numFmtId="0" fontId="15" fillId="15" borderId="0" xfId="7" applyFont="1" applyAlignment="1">
      <alignment horizontal="center"/>
    </xf>
    <xf numFmtId="0" fontId="17" fillId="0" borderId="0" xfId="0" applyFont="1"/>
    <xf numFmtId="14" fontId="17" fillId="0" borderId="0" xfId="0" applyNumberFormat="1" applyFont="1"/>
    <xf numFmtId="0" fontId="17" fillId="0" borderId="0" xfId="0" applyFont="1" applyAlignment="1">
      <alignment wrapText="1"/>
    </xf>
    <xf numFmtId="0" fontId="21" fillId="0" borderId="0" xfId="0" applyFont="1"/>
    <xf numFmtId="165" fontId="21" fillId="0" borderId="0" xfId="2" applyNumberFormat="1" applyFont="1"/>
    <xf numFmtId="0" fontId="22" fillId="0" borderId="0" xfId="0" applyFont="1"/>
    <xf numFmtId="0" fontId="19" fillId="16" borderId="0" xfId="0" applyFont="1" applyFill="1"/>
    <xf numFmtId="165" fontId="0" fillId="0" borderId="20" xfId="4" applyNumberFormat="1" applyFont="1" applyBorder="1" applyAlignment="1">
      <alignment horizontal="right"/>
    </xf>
    <xf numFmtId="0" fontId="10" fillId="13" borderId="20" xfId="3" applyFont="1" applyFill="1" applyBorder="1" applyAlignment="1">
      <alignment horizontal="center" vertical="center"/>
    </xf>
    <xf numFmtId="0" fontId="1" fillId="13" borderId="20" xfId="3" applyFill="1" applyBorder="1" applyAlignment="1">
      <alignment horizontal="right"/>
    </xf>
    <xf numFmtId="0" fontId="1" fillId="13" borderId="20" xfId="3" applyFill="1" applyBorder="1" applyAlignment="1">
      <alignment horizontal="right" wrapText="1"/>
    </xf>
    <xf numFmtId="6" fontId="11" fillId="13" borderId="20" xfId="3" applyNumberFormat="1" applyFont="1" applyFill="1" applyBorder="1" applyAlignment="1">
      <alignment horizontal="center"/>
    </xf>
    <xf numFmtId="0" fontId="2" fillId="2" borderId="13" xfId="0" applyFont="1" applyFill="1" applyBorder="1"/>
    <xf numFmtId="0" fontId="5" fillId="2" borderId="11" xfId="0" applyFont="1" applyFill="1" applyBorder="1"/>
    <xf numFmtId="0" fontId="4" fillId="0" borderId="0" xfId="0" applyFont="1"/>
    <xf numFmtId="0" fontId="0" fillId="0" borderId="21" xfId="0" applyBorder="1"/>
    <xf numFmtId="0" fontId="1" fillId="8" borderId="3" xfId="0" applyFont="1" applyFill="1" applyBorder="1" applyProtection="1">
      <protection hidden="1"/>
    </xf>
    <xf numFmtId="0" fontId="2" fillId="8" borderId="0" xfId="0" quotePrefix="1" applyFont="1" applyFill="1" applyAlignment="1" applyProtection="1">
      <alignment horizontal="left"/>
      <protection hidden="1"/>
    </xf>
    <xf numFmtId="0" fontId="2" fillId="8" borderId="0" xfId="0" applyFont="1" applyFill="1" applyAlignment="1" applyProtection="1">
      <alignment horizontal="left"/>
      <protection hidden="1"/>
    </xf>
    <xf numFmtId="0" fontId="2" fillId="8" borderId="14" xfId="0" quotePrefix="1" applyFont="1" applyFill="1" applyBorder="1" applyAlignment="1" applyProtection="1">
      <alignment horizontal="left"/>
      <protection hidden="1"/>
    </xf>
    <xf numFmtId="165" fontId="1" fillId="3" borderId="1" xfId="2" applyNumberFormat="1" applyFont="1" applyFill="1" applyBorder="1" applyProtection="1">
      <protection hidden="1"/>
    </xf>
    <xf numFmtId="0" fontId="1" fillId="7" borderId="0" xfId="0" applyFont="1" applyFill="1" applyProtection="1">
      <protection hidden="1"/>
    </xf>
    <xf numFmtId="0" fontId="2" fillId="7" borderId="0" xfId="0" quotePrefix="1" applyFont="1" applyFill="1" applyAlignment="1" applyProtection="1">
      <alignment horizontal="left"/>
      <protection hidden="1"/>
    </xf>
    <xf numFmtId="0" fontId="2" fillId="7" borderId="0" xfId="0" applyFont="1" applyFill="1" applyAlignment="1" applyProtection="1">
      <alignment horizontal="left"/>
      <protection hidden="1"/>
    </xf>
    <xf numFmtId="0" fontId="2" fillId="7" borderId="14" xfId="0" quotePrefix="1" applyFont="1" applyFill="1" applyBorder="1" applyAlignment="1" applyProtection="1">
      <alignment horizontal="left"/>
      <protection hidden="1"/>
    </xf>
    <xf numFmtId="6" fontId="11" fillId="13" borderId="0" xfId="3" applyNumberFormat="1" applyFont="1" applyFill="1" applyAlignment="1">
      <alignment horizontal="center"/>
    </xf>
    <xf numFmtId="165" fontId="21" fillId="0" borderId="23" xfId="2" applyNumberFormat="1" applyFont="1" applyBorder="1"/>
    <xf numFmtId="173" fontId="20" fillId="11" borderId="22" xfId="0" applyNumberFormat="1" applyFont="1" applyFill="1" applyBorder="1" applyAlignment="1">
      <alignment horizontal="center" vertical="center" wrapText="1"/>
    </xf>
    <xf numFmtId="2" fontId="17" fillId="0" borderId="0" xfId="0" applyNumberFormat="1" applyFont="1" applyAlignment="1">
      <alignment horizontal="center"/>
    </xf>
    <xf numFmtId="0" fontId="25" fillId="0" borderId="0" xfId="0" applyFont="1" applyAlignment="1">
      <alignment wrapText="1"/>
    </xf>
    <xf numFmtId="0" fontId="26"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2" fillId="16" borderId="24" xfId="0" applyNumberFormat="1" applyFont="1" applyFill="1" applyBorder="1" applyAlignment="1">
      <alignment horizontal="left"/>
    </xf>
    <xf numFmtId="0" fontId="1" fillId="8" borderId="15" xfId="0" quotePrefix="1" applyFont="1" applyFill="1" applyBorder="1" applyAlignment="1" applyProtection="1">
      <alignment horizontal="center" vertical="center" wrapText="1"/>
      <protection hidden="1"/>
    </xf>
    <xf numFmtId="0" fontId="1" fillId="8" borderId="16" xfId="0" quotePrefix="1" applyFont="1" applyFill="1" applyBorder="1" applyAlignment="1" applyProtection="1">
      <alignment horizontal="center" vertical="center" wrapText="1"/>
      <protection hidden="1"/>
    </xf>
    <xf numFmtId="0" fontId="1" fillId="7" borderId="15" xfId="0" quotePrefix="1" applyFont="1" applyFill="1" applyBorder="1" applyAlignment="1" applyProtection="1">
      <alignment horizontal="center" vertical="center" wrapText="1"/>
      <protection hidden="1"/>
    </xf>
    <xf numFmtId="0" fontId="1" fillId="7" borderId="16" xfId="0" quotePrefix="1" applyFont="1" applyFill="1" applyBorder="1" applyAlignment="1" applyProtection="1">
      <alignment horizontal="center" vertical="center" wrapText="1"/>
      <protection hidden="1"/>
    </xf>
    <xf numFmtId="10" fontId="1" fillId="3" borderId="9" xfId="0" applyNumberFormat="1" applyFont="1" applyFill="1" applyBorder="1"/>
    <xf numFmtId="0" fontId="1" fillId="2" borderId="9" xfId="0" quotePrefix="1" applyFont="1" applyFill="1" applyBorder="1" applyAlignment="1" applyProtection="1">
      <alignment horizontal="center"/>
      <protection hidden="1"/>
    </xf>
    <xf numFmtId="10" fontId="1" fillId="3" borderId="9" xfId="0" applyNumberFormat="1" applyFont="1" applyFill="1" applyBorder="1" applyProtection="1">
      <protection hidden="1"/>
    </xf>
    <xf numFmtId="0" fontId="14" fillId="8" borderId="15" xfId="0" quotePrefix="1" applyFont="1" applyFill="1" applyBorder="1" applyAlignment="1" applyProtection="1">
      <alignment horizontal="center" vertical="center" wrapText="1"/>
      <protection hidden="1"/>
    </xf>
    <xf numFmtId="0" fontId="14" fillId="7" borderId="15" xfId="0" quotePrefix="1" applyFont="1" applyFill="1" applyBorder="1" applyAlignment="1" applyProtection="1">
      <alignment horizontal="center" vertical="center" wrapText="1"/>
      <protection hidden="1"/>
    </xf>
    <xf numFmtId="0" fontId="5" fillId="0" borderId="5" xfId="0" quotePrefix="1" applyFont="1" applyBorder="1" applyAlignment="1" applyProtection="1">
      <alignment horizontal="center"/>
      <protection locked="0"/>
    </xf>
    <xf numFmtId="0" fontId="5" fillId="7" borderId="5" xfId="0" quotePrefix="1" applyFont="1" applyFill="1" applyBorder="1" applyAlignment="1">
      <alignment horizontal="left"/>
    </xf>
    <xf numFmtId="175" fontId="27" fillId="0" borderId="0" xfId="0" applyNumberFormat="1" applyFont="1" applyAlignment="1">
      <alignment horizontal="center"/>
    </xf>
    <xf numFmtId="0" fontId="17" fillId="0" borderId="0" xfId="0" applyFont="1" applyAlignment="1">
      <alignment horizontal="center"/>
    </xf>
    <xf numFmtId="15" fontId="17" fillId="0" borderId="0" xfId="0" applyNumberFormat="1" applyFont="1"/>
    <xf numFmtId="6" fontId="28" fillId="0" borderId="14" xfId="0" applyNumberFormat="1" applyFont="1" applyBorder="1" applyAlignment="1">
      <alignment horizontal="center"/>
    </xf>
    <xf numFmtId="173" fontId="29" fillId="11" borderId="13" xfId="0" applyNumberFormat="1" applyFont="1" applyFill="1" applyBorder="1" applyAlignment="1">
      <alignment horizontal="left"/>
    </xf>
    <xf numFmtId="165" fontId="30" fillId="0" borderId="0" xfId="2" applyNumberFormat="1" applyFont="1"/>
    <xf numFmtId="17" fontId="17" fillId="0" borderId="0" xfId="0" applyNumberFormat="1" applyFont="1"/>
    <xf numFmtId="0" fontId="31" fillId="0" borderId="12" xfId="0" applyFont="1" applyBorder="1" applyAlignment="1" applyProtection="1">
      <alignment horizontal="center"/>
      <protection hidden="1"/>
    </xf>
    <xf numFmtId="0" fontId="2" fillId="0" borderId="0" xfId="0" applyFont="1" applyAlignment="1" applyProtection="1">
      <alignment horizontal="center"/>
      <protection hidden="1"/>
    </xf>
    <xf numFmtId="0" fontId="31" fillId="0" borderId="0" xfId="0" applyFont="1" applyAlignment="1" applyProtection="1">
      <alignment horizontal="center"/>
      <protection hidden="1"/>
    </xf>
    <xf numFmtId="2" fontId="2" fillId="0" borderId="0" xfId="0" applyNumberFormat="1" applyFont="1" applyAlignment="1" applyProtection="1">
      <alignment horizontal="right"/>
      <protection hidden="1"/>
    </xf>
    <xf numFmtId="176" fontId="2" fillId="0" borderId="0" xfId="0" applyNumberFormat="1" applyFont="1" applyAlignment="1" applyProtection="1">
      <alignment horizontal="right"/>
      <protection hidden="1"/>
    </xf>
    <xf numFmtId="0" fontId="1" fillId="8" borderId="3"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 fillId="8" borderId="11" xfId="0" quotePrefix="1" applyFont="1" applyFill="1" applyBorder="1" applyAlignment="1" applyProtection="1">
      <alignment horizontal="left"/>
      <protection hidden="1"/>
    </xf>
    <xf numFmtId="0" fontId="1" fillId="8" borderId="13" xfId="0" quotePrefix="1" applyFont="1" applyFill="1" applyBorder="1" applyProtection="1">
      <protection hidden="1"/>
    </xf>
    <xf numFmtId="0" fontId="1" fillId="7" borderId="11" xfId="0" quotePrefix="1" applyFont="1" applyFill="1" applyBorder="1" applyProtection="1">
      <protection hidden="1"/>
    </xf>
    <xf numFmtId="0" fontId="1" fillId="7" borderId="13" xfId="0" quotePrefix="1" applyFont="1" applyFill="1" applyBorder="1" applyProtection="1">
      <protection hidden="1"/>
    </xf>
    <xf numFmtId="0" fontId="7" fillId="0" borderId="5"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6" xfId="0" applyFont="1" applyBorder="1" applyAlignment="1" applyProtection="1">
      <alignment horizontal="center"/>
      <protection hidden="1"/>
    </xf>
    <xf numFmtId="0" fontId="1" fillId="0" borderId="0" xfId="0" quotePrefix="1" applyFont="1" applyAlignment="1" applyProtection="1">
      <alignment horizontal="left"/>
      <protection hidden="1"/>
    </xf>
    <xf numFmtId="0" fontId="2" fillId="0" borderId="0" xfId="0" applyFont="1" applyAlignment="1" applyProtection="1">
      <alignment horizontal="left" wrapText="1"/>
      <protection hidden="1"/>
    </xf>
    <xf numFmtId="0" fontId="2" fillId="0" borderId="6" xfId="0" applyFont="1" applyBorder="1" applyAlignment="1" applyProtection="1">
      <alignment horizontal="left" wrapText="1"/>
      <protection hidden="1"/>
    </xf>
    <xf numFmtId="0" fontId="2" fillId="8" borderId="11" xfId="0" applyFont="1" applyFill="1" applyBorder="1" applyAlignment="1" applyProtection="1">
      <alignment horizontal="center"/>
      <protection hidden="1"/>
    </xf>
    <xf numFmtId="0" fontId="2" fillId="8" borderId="13" xfId="0" quotePrefix="1" applyFont="1" applyFill="1" applyBorder="1" applyAlignment="1" applyProtection="1">
      <alignment horizontal="center"/>
      <protection hidden="1"/>
    </xf>
    <xf numFmtId="0" fontId="2" fillId="8" borderId="9" xfId="0" quotePrefix="1" applyFont="1" applyFill="1" applyBorder="1" applyAlignment="1" applyProtection="1">
      <alignment horizontal="center"/>
      <protection hidden="1"/>
    </xf>
    <xf numFmtId="0" fontId="1" fillId="0" borderId="0" xfId="0" applyFont="1" applyAlignment="1" applyProtection="1">
      <alignment horizontal="left"/>
      <protection hidden="1"/>
    </xf>
    <xf numFmtId="0" fontId="7" fillId="0" borderId="5"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6" xfId="0" applyFont="1" applyBorder="1" applyAlignment="1" applyProtection="1">
      <alignment horizontal="left"/>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2" fillId="0" borderId="5" xfId="0" quotePrefix="1" applyFont="1" applyBorder="1" applyAlignment="1" applyProtection="1">
      <alignment horizontal="center"/>
      <protection hidden="1"/>
    </xf>
    <xf numFmtId="0" fontId="2" fillId="0" borderId="0" xfId="0" quotePrefix="1" applyFont="1" applyAlignment="1" applyProtection="1">
      <alignment horizontal="center"/>
      <protection hidden="1"/>
    </xf>
    <xf numFmtId="0" fontId="2" fillId="0" borderId="6" xfId="0" quotePrefix="1"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3" fillId="8" borderId="11" xfId="0" applyFont="1" applyFill="1" applyBorder="1" applyAlignment="1" applyProtection="1">
      <alignment horizontal="center" vertical="center"/>
      <protection hidden="1"/>
    </xf>
    <xf numFmtId="0" fontId="3" fillId="8" borderId="13" xfId="0" applyFont="1" applyFill="1" applyBorder="1" applyAlignment="1" applyProtection="1">
      <alignment horizontal="center" vertical="center"/>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1" fillId="0" borderId="5" xfId="0" applyFont="1" applyBorder="1" applyAlignment="1" applyProtection="1">
      <alignment horizontal="left" vertical="center" wrapText="1"/>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1" fontId="2" fillId="0" borderId="1" xfId="0" applyNumberFormat="1" applyFont="1" applyBorder="1" applyAlignment="1" applyProtection="1">
      <alignment horizontal="right"/>
      <protection locked="0"/>
    </xf>
    <xf numFmtId="0" fontId="5" fillId="0" borderId="4" xfId="0" quotePrefix="1" applyFont="1" applyBorder="1" applyAlignment="1" applyProtection="1">
      <alignment horizontal="center" vertical="center"/>
      <protection hidden="1"/>
    </xf>
    <xf numFmtId="0" fontId="5" fillId="0" borderId="8" xfId="0" quotePrefix="1"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2" fillId="0" borderId="11"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9" xfId="0" applyFont="1" applyBorder="1" applyAlignment="1" applyProtection="1">
      <alignment horizontal="left"/>
      <protection locked="0"/>
    </xf>
    <xf numFmtId="0" fontId="5" fillId="0" borderId="3" xfId="0" quotePrefix="1" applyFont="1" applyBorder="1" applyAlignment="1" applyProtection="1">
      <alignment horizontal="center" vertical="center"/>
      <protection hidden="1"/>
    </xf>
    <xf numFmtId="0" fontId="5" fillId="0" borderId="14" xfId="0" quotePrefix="1" applyFont="1" applyBorder="1" applyAlignment="1" applyProtection="1">
      <alignment horizontal="center" vertical="center"/>
      <protection hidden="1"/>
    </xf>
    <xf numFmtId="0" fontId="5" fillId="0" borderId="2" xfId="0" quotePrefix="1" applyFont="1" applyBorder="1" applyAlignment="1" applyProtection="1">
      <alignment horizontal="center" vertical="center"/>
      <protection hidden="1"/>
    </xf>
    <xf numFmtId="0" fontId="5" fillId="0" borderId="7" xfId="0" quotePrefix="1" applyFont="1" applyBorder="1" applyAlignment="1" applyProtection="1">
      <alignment horizontal="center" vertical="center"/>
      <protection hidden="1"/>
    </xf>
    <xf numFmtId="0" fontId="1" fillId="8" borderId="10" xfId="0" applyFont="1" applyFill="1" applyBorder="1" applyAlignment="1" applyProtection="1">
      <alignment horizontal="left"/>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2" fillId="8" borderId="5" xfId="0" applyFont="1" applyFill="1" applyBorder="1" applyAlignment="1" applyProtection="1">
      <alignment horizontal="center"/>
      <protection hidden="1"/>
    </xf>
    <xf numFmtId="0" fontId="2" fillId="8" borderId="0" xfId="0" applyFont="1" applyFill="1" applyAlignment="1" applyProtection="1">
      <alignment horizontal="center"/>
      <protection hidden="1"/>
    </xf>
    <xf numFmtId="0" fontId="2" fillId="8" borderId="6" xfId="0" applyFont="1" applyFill="1" applyBorder="1" applyAlignment="1" applyProtection="1">
      <alignment horizontal="center"/>
      <protection hidden="1"/>
    </xf>
    <xf numFmtId="0" fontId="2" fillId="8" borderId="7" xfId="0" applyFont="1" applyFill="1" applyBorder="1" applyAlignment="1" applyProtection="1">
      <alignment horizontal="center"/>
      <protection hidden="1"/>
    </xf>
    <xf numFmtId="0" fontId="2" fillId="8" borderId="14" xfId="0"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8" borderId="1" xfId="0" applyFont="1" applyFill="1" applyBorder="1" applyAlignment="1" applyProtection="1">
      <alignment horizontal="left"/>
      <protection hidden="1"/>
    </xf>
    <xf numFmtId="0" fontId="4" fillId="7" borderId="2" xfId="0" quotePrefix="1" applyFont="1" applyFill="1" applyBorder="1" applyAlignment="1" applyProtection="1">
      <alignment horizontal="center" vertical="center" wrapText="1"/>
      <protection hidden="1"/>
    </xf>
    <xf numFmtId="0" fontId="4" fillId="7" borderId="3" xfId="0" quotePrefix="1" applyFont="1" applyFill="1" applyBorder="1" applyAlignment="1" applyProtection="1">
      <alignment horizontal="center" vertical="center" wrapText="1"/>
      <protection hidden="1"/>
    </xf>
    <xf numFmtId="0" fontId="4" fillId="7" borderId="4" xfId="0" quotePrefix="1" applyFont="1" applyFill="1" applyBorder="1" applyAlignment="1" applyProtection="1">
      <alignment horizontal="center" vertical="center" wrapText="1"/>
      <protection hidden="1"/>
    </xf>
    <xf numFmtId="0" fontId="4" fillId="7" borderId="5" xfId="0" quotePrefix="1" applyFont="1" applyFill="1" applyBorder="1" applyAlignment="1" applyProtection="1">
      <alignment horizontal="center" vertical="center" wrapText="1"/>
      <protection hidden="1"/>
    </xf>
    <xf numFmtId="0" fontId="4" fillId="7" borderId="0" xfId="0" quotePrefix="1" applyFont="1" applyFill="1" applyAlignment="1" applyProtection="1">
      <alignment horizontal="center" vertical="center" wrapText="1"/>
      <protection hidden="1"/>
    </xf>
    <xf numFmtId="0" fontId="4" fillId="7" borderId="6" xfId="0" quotePrefix="1" applyFont="1" applyFill="1" applyBorder="1" applyAlignment="1" applyProtection="1">
      <alignment horizontal="center" vertical="center" wrapText="1"/>
      <protection hidden="1"/>
    </xf>
    <xf numFmtId="0" fontId="4" fillId="7" borderId="7" xfId="0" quotePrefix="1" applyFont="1" applyFill="1" applyBorder="1" applyAlignment="1" applyProtection="1">
      <alignment horizontal="center" vertical="center" wrapText="1"/>
      <protection hidden="1"/>
    </xf>
    <xf numFmtId="0" fontId="4" fillId="7" borderId="14" xfId="0" quotePrefix="1" applyFont="1" applyFill="1" applyBorder="1" applyAlignment="1" applyProtection="1">
      <alignment horizontal="center" vertical="center" wrapText="1"/>
      <protection hidden="1"/>
    </xf>
    <xf numFmtId="0" fontId="4" fillId="7" borderId="8" xfId="0" quotePrefix="1" applyFont="1" applyFill="1" applyBorder="1" applyAlignment="1" applyProtection="1">
      <alignment horizontal="center" vertical="center" wrapText="1"/>
      <protection hidden="1"/>
    </xf>
    <xf numFmtId="171" fontId="2" fillId="7" borderId="11" xfId="2" applyNumberFormat="1" applyFont="1" applyFill="1" applyBorder="1" applyAlignment="1" applyProtection="1">
      <alignment horizontal="center"/>
      <protection hidden="1"/>
    </xf>
    <xf numFmtId="171" fontId="2" fillId="7" borderId="9" xfId="2" applyNumberFormat="1" applyFont="1" applyFill="1" applyBorder="1" applyAlignment="1" applyProtection="1">
      <alignment horizontal="center"/>
      <protection hidden="1"/>
    </xf>
    <xf numFmtId="0" fontId="2" fillId="8" borderId="11" xfId="0" quotePrefix="1" applyFont="1" applyFill="1" applyBorder="1" applyAlignment="1" applyProtection="1">
      <alignment horizontal="center"/>
      <protection hidden="1"/>
    </xf>
    <xf numFmtId="0" fontId="1" fillId="0" borderId="11" xfId="0" applyFont="1" applyBorder="1" applyAlignment="1" applyProtection="1">
      <alignment horizontal="left"/>
      <protection locked="0"/>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0" fontId="1" fillId="8" borderId="11"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4" fillId="8" borderId="10" xfId="0" quotePrefix="1" applyFont="1" applyFill="1" applyBorder="1" applyAlignment="1" applyProtection="1">
      <alignment horizontal="center" vertical="center" wrapText="1"/>
      <protection hidden="1"/>
    </xf>
    <xf numFmtId="0" fontId="14" fillId="8" borderId="15" xfId="0" quotePrefix="1" applyFont="1" applyFill="1" applyBorder="1" applyAlignment="1" applyProtection="1">
      <alignment horizontal="center" vertical="center" wrapText="1"/>
      <protection hidden="1"/>
    </xf>
    <xf numFmtId="0" fontId="1" fillId="8" borderId="0" xfId="0" quotePrefix="1" applyFont="1" applyFill="1" applyAlignment="1" applyProtection="1">
      <alignment horizontal="center" vertical="center" wrapText="1"/>
      <protection hidden="1"/>
    </xf>
    <xf numFmtId="0" fontId="1" fillId="8" borderId="2" xfId="0" quotePrefix="1" applyFont="1" applyFill="1" applyBorder="1" applyAlignment="1" applyProtection="1">
      <alignment horizontal="left"/>
      <protection hidden="1"/>
    </xf>
    <xf numFmtId="0" fontId="1" fillId="8" borderId="3" xfId="0" quotePrefix="1" applyFont="1" applyFill="1" applyBorder="1" applyAlignment="1" applyProtection="1">
      <alignment horizontal="left"/>
      <protection hidden="1"/>
    </xf>
    <xf numFmtId="0" fontId="1" fillId="7" borderId="11" xfId="0" applyFont="1" applyFill="1" applyBorder="1" applyAlignment="1" applyProtection="1">
      <alignment horizontal="left"/>
      <protection hidden="1"/>
    </xf>
    <xf numFmtId="0" fontId="1" fillId="7" borderId="13" xfId="0" applyFont="1" applyFill="1" applyBorder="1" applyAlignment="1" applyProtection="1">
      <alignment horizontal="left"/>
      <protection hidden="1"/>
    </xf>
    <xf numFmtId="0" fontId="1" fillId="7" borderId="1" xfId="0" applyFont="1" applyFill="1" applyBorder="1" applyAlignment="1" applyProtection="1">
      <alignment horizontal="left"/>
      <protection hidden="1"/>
    </xf>
    <xf numFmtId="0" fontId="1" fillId="7" borderId="10" xfId="0" applyFont="1" applyFill="1" applyBorder="1" applyAlignment="1" applyProtection="1">
      <alignment horizontal="left"/>
      <protection hidden="1"/>
    </xf>
    <xf numFmtId="171" fontId="2" fillId="0" borderId="11" xfId="2" applyNumberFormat="1" applyFont="1" applyFill="1" applyBorder="1" applyAlignment="1" applyProtection="1">
      <alignment horizontal="center"/>
      <protection hidden="1"/>
    </xf>
    <xf numFmtId="171" fontId="2" fillId="0" borderId="9" xfId="2" applyNumberFormat="1" applyFont="1" applyFill="1" applyBorder="1" applyAlignment="1" applyProtection="1">
      <alignment horizontal="center"/>
      <protection hidden="1"/>
    </xf>
    <xf numFmtId="0" fontId="2" fillId="7" borderId="5" xfId="0" applyFont="1" applyFill="1" applyBorder="1" applyAlignment="1" applyProtection="1">
      <alignment horizontal="center"/>
      <protection hidden="1"/>
    </xf>
    <xf numFmtId="0" fontId="2" fillId="7" borderId="0" xfId="0" applyFont="1" applyFill="1" applyAlignment="1" applyProtection="1">
      <alignment horizontal="center"/>
      <protection hidden="1"/>
    </xf>
    <xf numFmtId="0" fontId="2" fillId="7" borderId="6" xfId="0" applyFont="1" applyFill="1" applyBorder="1" applyAlignment="1" applyProtection="1">
      <alignment horizontal="center"/>
      <protection hidden="1"/>
    </xf>
    <xf numFmtId="0" fontId="2" fillId="7" borderId="7" xfId="0" applyFont="1" applyFill="1" applyBorder="1" applyAlignment="1" applyProtection="1">
      <alignment horizontal="center"/>
      <protection hidden="1"/>
    </xf>
    <xf numFmtId="0" fontId="2" fillId="7" borderId="14" xfId="0" applyFont="1" applyFill="1" applyBorder="1" applyAlignment="1" applyProtection="1">
      <alignment horizontal="center"/>
      <protection hidden="1"/>
    </xf>
    <xf numFmtId="0" fontId="2" fillId="7" borderId="8" xfId="0" applyFont="1" applyFill="1" applyBorder="1" applyAlignment="1" applyProtection="1">
      <alignment horizontal="center"/>
      <protection hidden="1"/>
    </xf>
    <xf numFmtId="0" fontId="2" fillId="7" borderId="11" xfId="0" quotePrefix="1" applyFont="1" applyFill="1" applyBorder="1" applyAlignment="1" applyProtection="1">
      <alignment horizontal="center"/>
      <protection hidden="1"/>
    </xf>
    <xf numFmtId="0" fontId="2" fillId="7" borderId="9" xfId="0" quotePrefix="1" applyFont="1" applyFill="1" applyBorder="1" applyAlignment="1" applyProtection="1">
      <alignment horizontal="center"/>
      <protection hidden="1"/>
    </xf>
    <xf numFmtId="0" fontId="1" fillId="7" borderId="2" xfId="0" quotePrefix="1" applyFont="1" applyFill="1" applyBorder="1" applyAlignment="1" applyProtection="1">
      <alignment horizontal="left"/>
      <protection hidden="1"/>
    </xf>
    <xf numFmtId="0" fontId="1" fillId="7" borderId="3" xfId="0" quotePrefix="1" applyFont="1" applyFill="1" applyBorder="1" applyAlignment="1" applyProtection="1">
      <alignment horizontal="left"/>
      <protection hidden="1"/>
    </xf>
    <xf numFmtId="0" fontId="1" fillId="7" borderId="13" xfId="0" quotePrefix="1" applyFont="1" applyFill="1" applyBorder="1" applyAlignment="1" applyProtection="1">
      <alignment horizontal="left"/>
      <protection hidden="1"/>
    </xf>
    <xf numFmtId="0" fontId="1" fillId="7" borderId="9" xfId="0" quotePrefix="1" applyFont="1" applyFill="1" applyBorder="1" applyAlignment="1" applyProtection="1">
      <alignment horizontal="left"/>
      <protection hidden="1"/>
    </xf>
    <xf numFmtId="0" fontId="1" fillId="0" borderId="13" xfId="0" applyFont="1" applyBorder="1" applyAlignment="1">
      <alignment horizontal="left"/>
    </xf>
    <xf numFmtId="0" fontId="1" fillId="0" borderId="9" xfId="0" applyFont="1" applyBorder="1" applyAlignment="1">
      <alignment horizontal="left"/>
    </xf>
    <xf numFmtId="0" fontId="14" fillId="7" borderId="10" xfId="0" quotePrefix="1" applyFont="1" applyFill="1" applyBorder="1" applyAlignment="1" applyProtection="1">
      <alignment horizontal="center" vertical="center" wrapText="1"/>
      <protection hidden="1"/>
    </xf>
    <xf numFmtId="0" fontId="14" fillId="7" borderId="15" xfId="0" quotePrefix="1" applyFont="1" applyFill="1" applyBorder="1" applyAlignment="1" applyProtection="1">
      <alignment horizontal="center" vertical="center" wrapText="1"/>
      <protection hidden="1"/>
    </xf>
    <xf numFmtId="0" fontId="2" fillId="7" borderId="11" xfId="0" quotePrefix="1" applyFont="1" applyFill="1" applyBorder="1" applyAlignment="1" applyProtection="1">
      <alignment horizontal="left"/>
      <protection hidden="1"/>
    </xf>
    <xf numFmtId="0" fontId="2" fillId="7" borderId="13" xfId="0" quotePrefix="1" applyFont="1" applyFill="1" applyBorder="1" applyAlignment="1" applyProtection="1">
      <alignment horizontal="left"/>
      <protection hidden="1"/>
    </xf>
    <xf numFmtId="0" fontId="2" fillId="7" borderId="9" xfId="0" quotePrefix="1" applyFont="1" applyFill="1" applyBorder="1" applyAlignment="1" applyProtection="1">
      <alignment horizontal="left"/>
      <protection hidden="1"/>
    </xf>
    <xf numFmtId="0" fontId="2" fillId="0" borderId="11" xfId="0" applyFont="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1" fontId="2" fillId="0" borderId="1" xfId="0" applyNumberFormat="1" applyFont="1" applyBorder="1" applyAlignment="1">
      <alignment horizontal="right"/>
    </xf>
    <xf numFmtId="0" fontId="1" fillId="7" borderId="0" xfId="0" quotePrefix="1" applyFont="1" applyFill="1" applyAlignment="1" applyProtection="1">
      <alignment horizontal="center" vertical="center" wrapText="1"/>
      <protection hidden="1"/>
    </xf>
    <xf numFmtId="0" fontId="1" fillId="7" borderId="6" xfId="0" quotePrefix="1" applyFont="1" applyFill="1" applyBorder="1" applyAlignment="1" applyProtection="1">
      <alignment horizontal="center" vertical="center" wrapText="1"/>
      <protection hidden="1"/>
    </xf>
    <xf numFmtId="0" fontId="1" fillId="7" borderId="14" xfId="0" quotePrefix="1" applyFont="1" applyFill="1" applyBorder="1" applyAlignment="1" applyProtection="1">
      <alignment horizontal="center" vertical="center" wrapText="1"/>
      <protection hidden="1"/>
    </xf>
    <xf numFmtId="0" fontId="1" fillId="7" borderId="8" xfId="0" quotePrefix="1"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2" fillId="2" borderId="11" xfId="0" quotePrefix="1" applyFont="1" applyFill="1" applyBorder="1" applyAlignment="1" applyProtection="1">
      <alignment horizontal="left"/>
      <protection hidden="1"/>
    </xf>
    <xf numFmtId="0" fontId="2" fillId="2" borderId="9" xfId="0" quotePrefix="1" applyFont="1" applyFill="1" applyBorder="1" applyAlignment="1" applyProtection="1">
      <alignment horizontal="left"/>
      <protection hidden="1"/>
    </xf>
    <xf numFmtId="0" fontId="2" fillId="2" borderId="11" xfId="0" applyFont="1" applyFill="1" applyBorder="1" applyAlignment="1" applyProtection="1">
      <alignment horizontal="center"/>
      <protection hidden="1"/>
    </xf>
    <xf numFmtId="0" fontId="2" fillId="2" borderId="9" xfId="0" applyFont="1" applyFill="1" applyBorder="1" applyAlignment="1" applyProtection="1">
      <alignment horizontal="center"/>
      <protection hidden="1"/>
    </xf>
    <xf numFmtId="0" fontId="2" fillId="2" borderId="11" xfId="0" applyFont="1" applyFill="1" applyBorder="1" applyAlignment="1" applyProtection="1">
      <alignment horizontal="left"/>
      <protection hidden="1"/>
    </xf>
    <xf numFmtId="0" fontId="2" fillId="2" borderId="11" xfId="0" quotePrefix="1" applyFont="1" applyFill="1" applyBorder="1" applyAlignment="1" applyProtection="1">
      <alignment horizontal="center"/>
      <protection hidden="1"/>
    </xf>
    <xf numFmtId="3" fontId="4" fillId="3" borderId="10" xfId="1" quotePrefix="1" applyNumberFormat="1" applyFont="1" applyFill="1" applyBorder="1" applyAlignment="1" applyProtection="1">
      <alignment horizontal="left" vertical="center" wrapText="1"/>
      <protection hidden="1"/>
    </xf>
    <xf numFmtId="3" fontId="4" fillId="3" borderId="15" xfId="1" quotePrefix="1" applyNumberFormat="1" applyFont="1" applyFill="1" applyBorder="1" applyAlignment="1" applyProtection="1">
      <alignment horizontal="left" vertical="center" wrapText="1"/>
      <protection hidden="1"/>
    </xf>
    <xf numFmtId="3" fontId="4" fillId="3" borderId="16" xfId="1" quotePrefix="1" applyNumberFormat="1" applyFont="1" applyFill="1" applyBorder="1" applyAlignment="1" applyProtection="1">
      <alignment horizontal="left" vertical="center" wrapText="1"/>
      <protection hidden="1"/>
    </xf>
    <xf numFmtId="0" fontId="2" fillId="2" borderId="11" xfId="0" applyFont="1" applyFill="1" applyBorder="1" applyAlignment="1">
      <alignment horizontal="right"/>
    </xf>
    <xf numFmtId="0" fontId="2" fillId="2" borderId="13" xfId="0" applyFont="1" applyFill="1" applyBorder="1" applyAlignment="1">
      <alignment horizontal="right"/>
    </xf>
    <xf numFmtId="0" fontId="2" fillId="2" borderId="11" xfId="0" quotePrefix="1" applyFont="1" applyFill="1" applyBorder="1" applyAlignment="1">
      <alignment horizontal="left"/>
    </xf>
    <xf numFmtId="0" fontId="2" fillId="2" borderId="13" xfId="0" quotePrefix="1" applyFont="1" applyFill="1" applyBorder="1" applyAlignment="1">
      <alignment horizontal="left"/>
    </xf>
    <xf numFmtId="0" fontId="2" fillId="2" borderId="9" xfId="0" quotePrefix="1" applyFont="1" applyFill="1" applyBorder="1" applyAlignment="1">
      <alignment horizontal="left"/>
    </xf>
    <xf numFmtId="0" fontId="2" fillId="2" borderId="2" xfId="0" applyFont="1" applyFill="1" applyBorder="1" applyAlignment="1">
      <alignment horizontal="left"/>
    </xf>
    <xf numFmtId="0" fontId="2" fillId="2" borderId="4" xfId="0" applyFont="1" applyFill="1" applyBorder="1" applyAlignment="1">
      <alignment horizontal="left"/>
    </xf>
    <xf numFmtId="0" fontId="2"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0" fontId="1" fillId="2" borderId="11" xfId="0" quotePrefix="1" applyFont="1" applyFill="1" applyBorder="1" applyAlignment="1">
      <alignment horizontal="left" wrapText="1"/>
    </xf>
    <xf numFmtId="0" fontId="2" fillId="10" borderId="17"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19" xfId="0" applyFont="1" applyFill="1" applyBorder="1" applyAlignment="1">
      <alignment horizontal="center" vertical="center"/>
    </xf>
    <xf numFmtId="0" fontId="1" fillId="0" borderId="6" xfId="0" applyFont="1" applyBorder="1" applyAlignment="1" applyProtection="1">
      <alignment horizontal="left"/>
      <protection hidden="1"/>
    </xf>
    <xf numFmtId="0" fontId="1" fillId="8" borderId="1"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0" fontId="1" fillId="0" borderId="0" xfId="0" applyFont="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1" fillId="0" borderId="5" xfId="0" quotePrefix="1" applyFont="1" applyBorder="1" applyAlignment="1" applyProtection="1">
      <alignment horizontal="left"/>
      <protection hidden="1"/>
    </xf>
    <xf numFmtId="0" fontId="1" fillId="0" borderId="6" xfId="0" quotePrefix="1" applyFont="1" applyBorder="1" applyAlignment="1" applyProtection="1">
      <alignment horizontal="left"/>
      <protection hidden="1"/>
    </xf>
    <xf numFmtId="0" fontId="1" fillId="8" borderId="15" xfId="0" quotePrefix="1" applyFont="1" applyFill="1" applyBorder="1" applyAlignment="1" applyProtection="1">
      <alignment horizontal="left"/>
      <protection hidden="1"/>
    </xf>
    <xf numFmtId="0" fontId="1" fillId="0" borderId="5" xfId="0" applyFont="1" applyBorder="1" applyAlignment="1" applyProtection="1">
      <alignment horizontal="left"/>
      <protection hidden="1"/>
    </xf>
    <xf numFmtId="0" fontId="1" fillId="0" borderId="0" xfId="0" applyFont="1" applyAlignment="1" applyProtection="1">
      <alignment horizontal="left" indent="1"/>
      <protection hidden="1"/>
    </xf>
    <xf numFmtId="0" fontId="1" fillId="0" borderId="6" xfId="0" applyFont="1" applyBorder="1" applyAlignment="1" applyProtection="1">
      <alignment horizontal="left" indent="1"/>
      <protection hidden="1"/>
    </xf>
    <xf numFmtId="0" fontId="1" fillId="0" borderId="5" xfId="0" applyFont="1" applyBorder="1" applyProtection="1">
      <protection hidden="1"/>
    </xf>
    <xf numFmtId="0" fontId="1" fillId="0" borderId="0" xfId="0" applyFont="1" applyAlignment="1" applyProtection="1">
      <protection hidden="1"/>
    </xf>
    <xf numFmtId="0" fontId="1" fillId="0" borderId="6" xfId="0" applyFont="1" applyBorder="1" applyAlignment="1" applyProtection="1">
      <protection hidden="1"/>
    </xf>
    <xf numFmtId="0" fontId="7" fillId="0" borderId="7" xfId="0" applyFont="1" applyBorder="1" applyAlignment="1" applyProtection="1">
      <protection hidden="1"/>
    </xf>
    <xf numFmtId="0" fontId="7" fillId="0" borderId="14" xfId="0" applyFont="1" applyBorder="1" applyAlignment="1" applyProtection="1">
      <protection hidden="1"/>
    </xf>
    <xf numFmtId="0" fontId="7" fillId="0" borderId="8" xfId="0" applyFont="1" applyBorder="1" applyAlignment="1" applyProtection="1">
      <protection hidden="1"/>
    </xf>
    <xf numFmtId="0" fontId="0" fillId="8" borderId="7" xfId="0" applyFill="1" applyBorder="1" applyAlignment="1" applyProtection="1">
      <protection hidden="1"/>
    </xf>
    <xf numFmtId="0" fontId="0" fillId="8" borderId="0" xfId="0" applyFill="1" applyAlignment="1" applyProtection="1">
      <protection hidden="1"/>
    </xf>
    <xf numFmtId="0" fontId="0" fillId="8" borderId="6" xfId="0" applyFill="1" applyBorder="1" applyAlignment="1" applyProtection="1">
      <protection hidden="1"/>
    </xf>
    <xf numFmtId="168" fontId="1" fillId="8" borderId="6" xfId="0" applyNumberFormat="1" applyFont="1" applyFill="1" applyBorder="1" applyAlignment="1" applyProtection="1">
      <alignment horizontal="center"/>
      <protection hidden="1"/>
    </xf>
    <xf numFmtId="168" fontId="1" fillId="0" borderId="0" xfId="0" applyNumberFormat="1" applyFont="1" applyAlignment="1" applyProtection="1">
      <alignment horizontal="center"/>
      <protection hidden="1"/>
    </xf>
    <xf numFmtId="0" fontId="0" fillId="8" borderId="5" xfId="0" applyFill="1" applyBorder="1" applyAlignment="1" applyProtection="1">
      <protection hidden="1"/>
    </xf>
    <xf numFmtId="168" fontId="1" fillId="8" borderId="4" xfId="0" applyNumberFormat="1" applyFont="1" applyFill="1" applyBorder="1" applyAlignment="1" applyProtection="1">
      <alignment horizontal="center"/>
      <protection hidden="1"/>
    </xf>
    <xf numFmtId="164" fontId="2" fillId="0" borderId="11" xfId="2" applyNumberFormat="1" applyFont="1" applyFill="1" applyBorder="1" applyAlignment="1" applyProtection="1">
      <protection locked="0"/>
    </xf>
    <xf numFmtId="164" fontId="2" fillId="0" borderId="9" xfId="2" applyNumberFormat="1" applyFont="1" applyFill="1" applyBorder="1" applyAlignment="1" applyProtection="1">
      <protection locked="0"/>
    </xf>
    <xf numFmtId="164" fontId="2" fillId="7" borderId="11" xfId="2" applyNumberFormat="1" applyFont="1" applyFill="1" applyBorder="1" applyAlignment="1" applyProtection="1">
      <protection hidden="1"/>
    </xf>
    <xf numFmtId="164" fontId="2" fillId="7" borderId="9" xfId="2" applyNumberFormat="1" applyFont="1" applyFill="1" applyBorder="1" applyAlignment="1" applyProtection="1">
      <protection hidden="1"/>
    </xf>
    <xf numFmtId="10" fontId="2" fillId="0" borderId="11" xfId="4" applyNumberFormat="1" applyFont="1" applyFill="1" applyBorder="1" applyAlignment="1" applyProtection="1">
      <protection locked="0"/>
    </xf>
    <xf numFmtId="10" fontId="2" fillId="0" borderId="9" xfId="4" applyNumberFormat="1" applyFont="1" applyFill="1" applyBorder="1" applyAlignment="1" applyProtection="1">
      <protection locked="0"/>
    </xf>
    <xf numFmtId="166" fontId="2" fillId="0" borderId="11" xfId="1" applyNumberFormat="1" applyFont="1" applyFill="1" applyBorder="1" applyAlignment="1" applyProtection="1">
      <protection locked="0"/>
    </xf>
    <xf numFmtId="166" fontId="2" fillId="0" borderId="9" xfId="1" applyNumberFormat="1" applyFont="1" applyFill="1" applyBorder="1" applyAlignment="1" applyProtection="1">
      <protection locked="0"/>
    </xf>
    <xf numFmtId="166" fontId="2" fillId="7" borderId="11" xfId="1" applyNumberFormat="1" applyFont="1" applyFill="1" applyBorder="1" applyAlignment="1" applyProtection="1"/>
    <xf numFmtId="166" fontId="2" fillId="7" borderId="9" xfId="1" applyNumberFormat="1" applyFont="1" applyFill="1" applyBorder="1" applyAlignment="1" applyProtection="1"/>
    <xf numFmtId="0" fontId="1" fillId="8" borderId="11" xfId="0" quotePrefix="1" applyFont="1" applyFill="1" applyBorder="1" applyAlignment="1" applyProtection="1">
      <protection hidden="1"/>
    </xf>
    <xf numFmtId="0" fontId="1" fillId="8" borderId="13" xfId="0" quotePrefix="1" applyFont="1" applyFill="1" applyBorder="1" applyAlignment="1" applyProtection="1">
      <protection hidden="1"/>
    </xf>
    <xf numFmtId="170" fontId="1" fillId="7" borderId="1" xfId="2" applyNumberFormat="1" applyFont="1" applyFill="1" applyBorder="1" applyProtection="1">
      <protection hidden="1"/>
    </xf>
    <xf numFmtId="0" fontId="1" fillId="0" borderId="9" xfId="0" quotePrefix="1" applyFont="1" applyBorder="1" applyAlignment="1" applyProtection="1">
      <alignment horizontal="left"/>
      <protection locked="0"/>
    </xf>
    <xf numFmtId="0" fontId="1" fillId="8" borderId="7" xfId="0" quotePrefix="1" applyFont="1" applyFill="1" applyBorder="1" applyAlignment="1" applyProtection="1">
      <alignment horizontal="left"/>
      <protection hidden="1"/>
    </xf>
    <xf numFmtId="0" fontId="1" fillId="8" borderId="14" xfId="0" quotePrefix="1" applyFont="1" applyFill="1" applyBorder="1" applyAlignment="1" applyProtection="1">
      <alignment horizontal="left"/>
      <protection hidden="1"/>
    </xf>
    <xf numFmtId="0" fontId="1" fillId="0" borderId="13" xfId="0" applyFont="1" applyBorder="1" applyAlignment="1" applyProtection="1">
      <protection hidden="1"/>
    </xf>
    <xf numFmtId="0" fontId="1" fillId="0" borderId="14" xfId="0" applyFont="1" applyBorder="1" applyAlignment="1" applyProtection="1">
      <protection hidden="1"/>
    </xf>
    <xf numFmtId="0" fontId="1" fillId="11" borderId="1" xfId="0" quotePrefix="1" applyFont="1" applyFill="1" applyBorder="1" applyAlignment="1" applyProtection="1">
      <alignment horizontal="left"/>
      <protection locked="0" hidden="1"/>
    </xf>
    <xf numFmtId="170" fontId="1" fillId="0" borderId="1" xfId="2" applyNumberFormat="1" applyFont="1" applyFill="1" applyBorder="1" applyAlignment="1" applyProtection="1">
      <alignment vertical="center"/>
      <protection locked="0"/>
    </xf>
    <xf numFmtId="170" fontId="1" fillId="7" borderId="1" xfId="2" applyNumberFormat="1" applyFont="1" applyFill="1" applyBorder="1" applyAlignment="1" applyProtection="1">
      <alignment vertical="center"/>
      <protection hidden="1"/>
    </xf>
    <xf numFmtId="0" fontId="1" fillId="8" borderId="9" xfId="0" quotePrefix="1" applyFont="1" applyFill="1" applyBorder="1" applyAlignment="1" applyProtection="1">
      <protection hidden="1"/>
    </xf>
    <xf numFmtId="170" fontId="1" fillId="0" borderId="10" xfId="2" applyNumberFormat="1" applyFont="1" applyFill="1" applyBorder="1" applyProtection="1">
      <protection locked="0"/>
    </xf>
    <xf numFmtId="170" fontId="1" fillId="7" borderId="10" xfId="2" applyNumberFormat="1" applyFont="1" applyFill="1" applyBorder="1" applyProtection="1">
      <protection hidden="1"/>
    </xf>
    <xf numFmtId="170" fontId="1" fillId="7" borderId="10" xfId="2" applyNumberFormat="1" applyFont="1" applyFill="1" applyBorder="1" applyAlignment="1" applyProtection="1">
      <alignment horizontal="center"/>
      <protection hidden="1"/>
    </xf>
    <xf numFmtId="170" fontId="1" fillId="0" borderId="11" xfId="2" applyNumberFormat="1" applyFont="1" applyFill="1" applyBorder="1" applyProtection="1">
      <protection locked="0"/>
    </xf>
    <xf numFmtId="0" fontId="1" fillId="8" borderId="0" xfId="0" applyFont="1" applyFill="1" applyProtection="1">
      <protection hidden="1"/>
    </xf>
    <xf numFmtId="0" fontId="1" fillId="8" borderId="6" xfId="0" applyFont="1" applyFill="1" applyBorder="1" applyAlignment="1" applyProtection="1">
      <alignment horizontal="left"/>
      <protection hidden="1"/>
    </xf>
    <xf numFmtId="170" fontId="1" fillId="7" borderId="9" xfId="2" applyNumberFormat="1" applyFont="1" applyFill="1" applyBorder="1" applyProtection="1">
      <protection hidden="1"/>
    </xf>
    <xf numFmtId="0" fontId="2" fillId="8" borderId="11" xfId="0" quotePrefix="1" applyFont="1" applyFill="1" applyBorder="1" applyAlignment="1" applyProtection="1">
      <protection hidden="1"/>
    </xf>
    <xf numFmtId="0" fontId="2" fillId="8" borderId="13" xfId="0" quotePrefix="1" applyFont="1" applyFill="1" applyBorder="1" applyAlignment="1" applyProtection="1">
      <protection hidden="1"/>
    </xf>
    <xf numFmtId="0" fontId="2" fillId="8" borderId="9" xfId="0" quotePrefix="1" applyFont="1" applyFill="1" applyBorder="1" applyAlignment="1" applyProtection="1">
      <protection hidden="1"/>
    </xf>
    <xf numFmtId="170" fontId="1" fillId="7" borderId="7" xfId="2" applyNumberFormat="1" applyFont="1" applyFill="1" applyBorder="1" applyProtection="1">
      <protection hidden="1"/>
    </xf>
    <xf numFmtId="170" fontId="1" fillId="7" borderId="8" xfId="2" applyNumberFormat="1" applyFont="1" applyFill="1" applyBorder="1" applyProtection="1">
      <protection hidden="1"/>
    </xf>
    <xf numFmtId="170" fontId="1" fillId="7" borderId="11" xfId="2" applyNumberFormat="1" applyFont="1" applyFill="1" applyBorder="1" applyProtection="1">
      <protection hidden="1"/>
    </xf>
    <xf numFmtId="0" fontId="1" fillId="8" borderId="1" xfId="0" quotePrefix="1"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0" fontId="0" fillId="7" borderId="11" xfId="0" applyFill="1" applyBorder="1" applyAlignment="1" applyProtection="1">
      <protection hidden="1"/>
    </xf>
    <xf numFmtId="0" fontId="0" fillId="7" borderId="3" xfId="0" applyFill="1" applyBorder="1" applyAlignment="1" applyProtection="1">
      <protection hidden="1"/>
    </xf>
    <xf numFmtId="0" fontId="0" fillId="7" borderId="4" xfId="0" applyFill="1" applyBorder="1" applyAlignment="1" applyProtection="1">
      <protection hidden="1"/>
    </xf>
    <xf numFmtId="168" fontId="1" fillId="0" borderId="1" xfId="0" applyNumberFormat="1" applyFont="1" applyBorder="1" applyAlignment="1" applyProtection="1">
      <alignment horizontal="center"/>
      <protection hidden="1"/>
    </xf>
    <xf numFmtId="0" fontId="0" fillId="7" borderId="7" xfId="0" applyFill="1" applyBorder="1" applyAlignment="1" applyProtection="1">
      <protection hidden="1"/>
    </xf>
    <xf numFmtId="0" fontId="0" fillId="7" borderId="0" xfId="0" applyFill="1" applyAlignment="1" applyProtection="1">
      <protection hidden="1"/>
    </xf>
    <xf numFmtId="0" fontId="0" fillId="7" borderId="6" xfId="0" applyFill="1" applyBorder="1" applyAlignment="1" applyProtection="1">
      <protection hidden="1"/>
    </xf>
    <xf numFmtId="168" fontId="1" fillId="7" borderId="6" xfId="0" applyNumberFormat="1" applyFont="1" applyFill="1" applyBorder="1" applyAlignment="1" applyProtection="1">
      <alignment horizontal="center"/>
      <protection hidden="1"/>
    </xf>
    <xf numFmtId="164" fontId="2" fillId="0" borderId="11" xfId="2" applyNumberFormat="1" applyFont="1" applyFill="1" applyBorder="1" applyAlignment="1" applyProtection="1"/>
    <xf numFmtId="164" fontId="2" fillId="0" borderId="13" xfId="2" applyNumberFormat="1" applyFont="1" applyFill="1" applyBorder="1" applyAlignment="1" applyProtection="1"/>
    <xf numFmtId="164" fontId="2" fillId="7" borderId="13" xfId="2" applyNumberFormat="1" applyFont="1" applyFill="1" applyBorder="1" applyAlignment="1" applyProtection="1">
      <protection hidden="1"/>
    </xf>
    <xf numFmtId="10" fontId="2" fillId="0" borderId="11" xfId="4" applyNumberFormat="1" applyFont="1" applyFill="1" applyBorder="1" applyAlignment="1" applyProtection="1"/>
    <xf numFmtId="10" fontId="2" fillId="0" borderId="13" xfId="4" applyNumberFormat="1" applyFont="1" applyFill="1" applyBorder="1" applyAlignment="1" applyProtection="1"/>
    <xf numFmtId="166" fontId="2" fillId="0" borderId="11" xfId="1" applyNumberFormat="1" applyFont="1" applyFill="1" applyBorder="1" applyAlignment="1" applyProtection="1"/>
    <xf numFmtId="166" fontId="2" fillId="0" borderId="13" xfId="1" applyNumberFormat="1" applyFont="1" applyFill="1" applyBorder="1" applyAlignment="1" applyProtection="1"/>
    <xf numFmtId="166" fontId="2" fillId="7" borderId="13" xfId="1" applyNumberFormat="1" applyFont="1" applyFill="1" applyBorder="1" applyAlignment="1" applyProtection="1"/>
    <xf numFmtId="0" fontId="2" fillId="7" borderId="11" xfId="0" quotePrefix="1" applyFont="1" applyFill="1" applyBorder="1" applyAlignment="1" applyProtection="1">
      <protection hidden="1"/>
    </xf>
    <xf numFmtId="0" fontId="2" fillId="7" borderId="13" xfId="0" quotePrefix="1" applyFont="1" applyFill="1" applyBorder="1" applyAlignment="1" applyProtection="1">
      <protection hidden="1"/>
    </xf>
    <xf numFmtId="0" fontId="1" fillId="7" borderId="11" xfId="0" applyFont="1" applyFill="1" applyBorder="1" applyAlignment="1" applyProtection="1">
      <protection hidden="1"/>
    </xf>
    <xf numFmtId="0" fontId="1" fillId="7" borderId="13" xfId="0" applyFont="1" applyFill="1" applyBorder="1" applyAlignment="1" applyProtection="1">
      <protection hidden="1"/>
    </xf>
    <xf numFmtId="0" fontId="1" fillId="7" borderId="11" xfId="0" quotePrefix="1" applyFont="1" applyFill="1" applyBorder="1" applyAlignment="1" applyProtection="1">
      <protection hidden="1"/>
    </xf>
    <xf numFmtId="0" fontId="1" fillId="7" borderId="13" xfId="0" quotePrefix="1" applyFont="1" applyFill="1" applyBorder="1" applyAlignment="1" applyProtection="1">
      <protection hidden="1"/>
    </xf>
    <xf numFmtId="0" fontId="1" fillId="7" borderId="11" xfId="0" quotePrefix="1" applyFont="1" applyFill="1" applyBorder="1" applyAlignment="1" applyProtection="1">
      <alignment horizontal="left"/>
      <protection hidden="1"/>
    </xf>
    <xf numFmtId="0" fontId="1" fillId="0" borderId="9" xfId="0" quotePrefix="1" applyFont="1" applyBorder="1" applyAlignment="1">
      <alignment horizontal="left"/>
    </xf>
    <xf numFmtId="0" fontId="1" fillId="7" borderId="7" xfId="0" quotePrefix="1" applyFont="1" applyFill="1" applyBorder="1" applyAlignment="1" applyProtection="1">
      <alignment horizontal="left"/>
      <protection hidden="1"/>
    </xf>
    <xf numFmtId="0" fontId="1" fillId="7" borderId="14" xfId="0" quotePrefix="1" applyFont="1" applyFill="1" applyBorder="1" applyAlignment="1" applyProtection="1">
      <alignment horizontal="left"/>
      <protection hidden="1"/>
    </xf>
    <xf numFmtId="0" fontId="1" fillId="7" borderId="7" xfId="0" quotePrefix="1" applyFont="1" applyFill="1" applyBorder="1" applyAlignment="1" applyProtection="1">
      <alignment horizontal="left"/>
      <protection hidden="1"/>
    </xf>
    <xf numFmtId="0" fontId="1" fillId="7" borderId="14" xfId="0" quotePrefix="1" applyFont="1" applyFill="1" applyBorder="1" applyAlignment="1" applyProtection="1">
      <alignment horizontal="left"/>
      <protection hidden="1"/>
    </xf>
    <xf numFmtId="170" fontId="1" fillId="0" borderId="1" xfId="2" applyNumberFormat="1" applyFont="1" applyFill="1" applyBorder="1" applyProtection="1">
      <protection hidden="1"/>
    </xf>
    <xf numFmtId="0" fontId="1" fillId="7" borderId="1" xfId="0" quotePrefix="1" applyFont="1" applyFill="1" applyBorder="1" applyAlignment="1" applyProtection="1">
      <alignment horizontal="left"/>
      <protection hidden="1"/>
    </xf>
    <xf numFmtId="0" fontId="1" fillId="0" borderId="1" xfId="0" quotePrefix="1" applyFont="1" applyBorder="1" applyAlignment="1" applyProtection="1">
      <alignment horizontal="left"/>
      <protection hidden="1"/>
    </xf>
    <xf numFmtId="170" fontId="1" fillId="0" borderId="1" xfId="2" applyNumberFormat="1" applyFont="1" applyFill="1" applyBorder="1" applyAlignment="1" applyProtection="1">
      <alignment vertical="center"/>
    </xf>
    <xf numFmtId="170" fontId="1" fillId="0" borderId="1" xfId="2" applyNumberFormat="1" applyFont="1" applyFill="1" applyBorder="1" applyAlignment="1" applyProtection="1">
      <alignment vertical="center"/>
      <protection hidden="1"/>
    </xf>
    <xf numFmtId="0" fontId="1" fillId="7" borderId="9" xfId="0" quotePrefix="1" applyFont="1" applyFill="1" applyBorder="1" applyAlignment="1" applyProtection="1">
      <protection hidden="1"/>
    </xf>
    <xf numFmtId="170" fontId="1" fillId="0" borderId="10" xfId="2" applyNumberFormat="1" applyFont="1" applyFill="1" applyBorder="1" applyProtection="1"/>
    <xf numFmtId="170" fontId="1" fillId="0" borderId="10" xfId="2" applyNumberFormat="1" applyFont="1" applyFill="1" applyBorder="1" applyProtection="1">
      <protection hidden="1"/>
    </xf>
    <xf numFmtId="170" fontId="1" fillId="0" borderId="10" xfId="2" applyNumberFormat="1" applyFont="1" applyFill="1" applyBorder="1" applyAlignment="1" applyProtection="1">
      <alignment horizontal="center"/>
      <protection hidden="1"/>
    </xf>
    <xf numFmtId="170" fontId="1" fillId="0" borderId="11" xfId="2" applyNumberFormat="1" applyFont="1" applyFill="1" applyBorder="1" applyProtection="1"/>
    <xf numFmtId="0" fontId="1" fillId="7" borderId="6" xfId="0" applyFont="1" applyFill="1" applyBorder="1" applyAlignment="1" applyProtection="1">
      <alignment horizontal="left"/>
      <protection hidden="1"/>
    </xf>
    <xf numFmtId="170" fontId="1" fillId="0" borderId="9" xfId="2" applyNumberFormat="1" applyFont="1" applyFill="1" applyBorder="1" applyProtection="1">
      <protection hidden="1"/>
    </xf>
    <xf numFmtId="0" fontId="2" fillId="7" borderId="9" xfId="0" quotePrefix="1" applyFont="1" applyFill="1" applyBorder="1" applyAlignment="1" applyProtection="1">
      <protection hidden="1"/>
    </xf>
    <xf numFmtId="170" fontId="1" fillId="0" borderId="7" xfId="2" applyNumberFormat="1" applyFont="1" applyFill="1" applyBorder="1" applyProtection="1">
      <protection hidden="1"/>
    </xf>
    <xf numFmtId="170" fontId="1" fillId="0" borderId="8" xfId="2" applyNumberFormat="1" applyFont="1" applyFill="1" applyBorder="1" applyProtection="1">
      <protection hidden="1"/>
    </xf>
    <xf numFmtId="170" fontId="1" fillId="0" borderId="11" xfId="2" applyNumberFormat="1" applyFont="1" applyFill="1" applyBorder="1" applyProtection="1">
      <protection hidden="1"/>
    </xf>
    <xf numFmtId="0" fontId="1" fillId="7" borderId="1" xfId="0" quotePrefix="1" applyFont="1" applyFill="1" applyBorder="1" applyAlignment="1" applyProtection="1">
      <alignment horizontal="left"/>
      <protection hidden="1"/>
    </xf>
    <xf numFmtId="170" fontId="1" fillId="7" borderId="6" xfId="2" applyNumberFormat="1" applyFont="1" applyFill="1" applyBorder="1" applyProtection="1">
      <protection hidden="1"/>
    </xf>
    <xf numFmtId="0" fontId="1" fillId="7" borderId="10" xfId="0" quotePrefix="1" applyFont="1" applyFill="1" applyBorder="1" applyAlignment="1" applyProtection="1">
      <alignment horizontal="left"/>
      <protection hidden="1"/>
    </xf>
    <xf numFmtId="3" fontId="1" fillId="3" borderId="11" xfId="1" applyNumberFormat="1" applyFont="1" applyFill="1" applyBorder="1" applyProtection="1">
      <protection hidden="1"/>
    </xf>
    <xf numFmtId="174" fontId="1" fillId="3" borderId="1" xfId="1" applyNumberFormat="1" applyFont="1" applyFill="1" applyBorder="1" applyProtection="1">
      <protection hidden="1"/>
    </xf>
    <xf numFmtId="10" fontId="1" fillId="0" borderId="9" xfId="0" applyNumberFormat="1" applyFont="1" applyBorder="1" applyProtection="1">
      <protection locked="0"/>
    </xf>
    <xf numFmtId="10" fontId="1" fillId="0" borderId="0" xfId="0" applyNumberFormat="1" applyFont="1" applyProtection="1">
      <protection hidden="1"/>
    </xf>
    <xf numFmtId="3" fontId="1" fillId="3" borderId="1" xfId="1" applyNumberFormat="1" applyFont="1" applyFill="1" applyBorder="1" applyProtection="1">
      <protection hidden="1"/>
    </xf>
    <xf numFmtId="0" fontId="1" fillId="2" borderId="4" xfId="0" quotePrefix="1" applyFont="1" applyFill="1" applyBorder="1" applyAlignment="1" applyProtection="1">
      <alignment horizontal="left"/>
      <protection hidden="1"/>
    </xf>
    <xf numFmtId="0" fontId="1" fillId="2" borderId="9" xfId="0" quotePrefix="1" applyFont="1" applyFill="1" applyBorder="1" applyAlignment="1" applyProtection="1">
      <alignment horizontal="left"/>
      <protection hidden="1"/>
    </xf>
    <xf numFmtId="0" fontId="1" fillId="2" borderId="10" xfId="0" quotePrefix="1" applyFont="1" applyFill="1" applyBorder="1" applyAlignment="1" applyProtection="1">
      <alignment horizontal="left"/>
      <protection hidden="1"/>
    </xf>
    <xf numFmtId="10" fontId="1" fillId="3" borderId="10" xfId="4" applyNumberFormat="1" applyFont="1" applyFill="1" applyBorder="1" applyProtection="1">
      <protection hidden="1"/>
    </xf>
    <xf numFmtId="10" fontId="1" fillId="3" borderId="1" xfId="4" applyNumberFormat="1" applyFont="1" applyFill="1" applyBorder="1" applyProtection="1">
      <protection hidden="1"/>
    </xf>
    <xf numFmtId="0" fontId="1" fillId="2" borderId="3" xfId="0" quotePrefix="1" applyFont="1" applyFill="1" applyBorder="1" applyAlignment="1" applyProtection="1">
      <alignment horizontal="left"/>
      <protection hidden="1"/>
    </xf>
    <xf numFmtId="165" fontId="1" fillId="3" borderId="16" xfId="2" applyNumberFormat="1" applyFont="1" applyFill="1" applyBorder="1" applyProtection="1">
      <protection hidden="1"/>
    </xf>
    <xf numFmtId="0" fontId="1" fillId="2" borderId="1" xfId="0" quotePrefix="1" applyFont="1" applyFill="1" applyBorder="1" applyAlignment="1" applyProtection="1">
      <alignment horizontal="left"/>
      <protection hidden="1"/>
    </xf>
    <xf numFmtId="10" fontId="1" fillId="3" borderId="1" xfId="0" applyNumberFormat="1" applyFont="1" applyFill="1" applyBorder="1" applyProtection="1">
      <protection hidden="1"/>
    </xf>
    <xf numFmtId="170" fontId="1" fillId="9" borderId="1" xfId="2" applyNumberFormat="1" applyFont="1" applyFill="1" applyBorder="1" applyProtection="1">
      <protection hidden="1"/>
    </xf>
    <xf numFmtId="170" fontId="1" fillId="3" borderId="1" xfId="2" applyNumberFormat="1" applyFont="1" applyFill="1" applyBorder="1" applyProtection="1">
      <protection hidden="1"/>
    </xf>
    <xf numFmtId="165" fontId="1" fillId="3" borderId="2" xfId="2" applyNumberFormat="1" applyFont="1" applyFill="1" applyBorder="1"/>
    <xf numFmtId="165" fontId="1" fillId="3" borderId="3" xfId="2" applyNumberFormat="1" applyFont="1" applyFill="1" applyBorder="1"/>
    <xf numFmtId="10" fontId="1" fillId="3" borderId="4" xfId="4" applyNumberFormat="1" applyFont="1" applyFill="1" applyBorder="1"/>
    <xf numFmtId="165" fontId="1" fillId="3" borderId="5" xfId="2" applyNumberFormat="1" applyFont="1" applyFill="1" applyBorder="1"/>
    <xf numFmtId="165" fontId="1" fillId="3" borderId="0" xfId="2" applyNumberFormat="1" applyFont="1" applyFill="1" applyBorder="1"/>
    <xf numFmtId="10" fontId="1" fillId="3" borderId="6" xfId="4" applyNumberFormat="1" applyFont="1" applyFill="1" applyBorder="1"/>
    <xf numFmtId="165" fontId="1" fillId="3" borderId="7" xfId="2" applyNumberFormat="1" applyFont="1" applyFill="1" applyBorder="1"/>
    <xf numFmtId="10" fontId="1" fillId="3" borderId="8" xfId="4" applyNumberFormat="1" applyFont="1" applyFill="1" applyBorder="1"/>
    <xf numFmtId="0" fontId="2" fillId="2" borderId="11" xfId="0" applyFont="1" applyFill="1" applyBorder="1" applyAlignment="1"/>
    <xf numFmtId="0" fontId="2" fillId="2" borderId="9" xfId="0" applyFont="1" applyFill="1" applyBorder="1" applyAlignment="1"/>
    <xf numFmtId="0" fontId="1" fillId="3" borderId="9" xfId="0" applyFont="1" applyFill="1" applyBorder="1"/>
    <xf numFmtId="0" fontId="2" fillId="2" borderId="13" xfId="0" applyFont="1" applyFill="1" applyBorder="1" applyAlignment="1"/>
    <xf numFmtId="0" fontId="1" fillId="2" borderId="11" xfId="0" quotePrefix="1" applyFont="1" applyFill="1" applyBorder="1" applyAlignment="1">
      <alignment horizontal="left"/>
    </xf>
    <xf numFmtId="0" fontId="1" fillId="2" borderId="9" xfId="0" applyFont="1" applyFill="1" applyBorder="1" applyAlignment="1"/>
    <xf numFmtId="0" fontId="1" fillId="2" borderId="11" xfId="0" applyFont="1" applyFill="1" applyBorder="1" applyAlignment="1"/>
    <xf numFmtId="0" fontId="1" fillId="2" borderId="9" xfId="0" quotePrefix="1" applyFont="1" applyFill="1" applyBorder="1" applyAlignment="1">
      <alignment horizontal="left"/>
    </xf>
    <xf numFmtId="164" fontId="1" fillId="3" borderId="1" xfId="2" applyNumberFormat="1" applyFont="1" applyFill="1" applyBorder="1" applyProtection="1"/>
    <xf numFmtId="10" fontId="1" fillId="3" borderId="4" xfId="0" applyNumberFormat="1" applyFont="1" applyFill="1" applyBorder="1"/>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0" fontId="1" fillId="2" borderId="0" xfId="0" applyFont="1" applyFill="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14" xfId="0" applyFont="1" applyFill="1" applyBorder="1" applyAlignment="1">
      <alignment horizontal="left"/>
    </xf>
    <xf numFmtId="0" fontId="1" fillId="2" borderId="8" xfId="0" applyFont="1" applyFill="1" applyBorder="1" applyAlignment="1">
      <alignment horizontal="left"/>
    </xf>
    <xf numFmtId="167" fontId="1" fillId="3" borderId="4" xfId="0" applyNumberFormat="1" applyFont="1" applyFill="1" applyBorder="1"/>
    <xf numFmtId="0" fontId="1" fillId="3" borderId="6" xfId="0" applyFont="1" applyFill="1" applyBorder="1"/>
    <xf numFmtId="0" fontId="1" fillId="2" borderId="1" xfId="0" applyFont="1" applyFill="1" applyBorder="1" applyAlignment="1">
      <alignment horizontal="left"/>
    </xf>
    <xf numFmtId="0" fontId="1" fillId="2" borderId="1" xfId="0" quotePrefix="1" applyFont="1" applyFill="1" applyBorder="1" applyAlignment="1">
      <alignment horizontal="left"/>
    </xf>
    <xf numFmtId="169" fontId="1" fillId="3" borderId="1" xfId="1" applyNumberFormat="1" applyFont="1" applyFill="1" applyBorder="1"/>
    <xf numFmtId="6" fontId="1" fillId="3" borderId="1" xfId="2" applyNumberFormat="1" applyFont="1" applyFill="1" applyBorder="1"/>
    <xf numFmtId="0" fontId="1" fillId="2" borderId="1" xfId="0" applyFont="1" applyFill="1" applyBorder="1" applyAlignment="1"/>
    <xf numFmtId="8" fontId="1" fillId="3" borderId="1" xfId="2" applyNumberFormat="1" applyFont="1" applyFill="1" applyBorder="1"/>
    <xf numFmtId="10" fontId="1" fillId="3" borderId="9" xfId="4" applyNumberFormat="1" applyFont="1" applyFill="1" applyBorder="1" applyProtection="1"/>
    <xf numFmtId="43" fontId="1" fillId="3" borderId="4" xfId="1" applyFont="1" applyFill="1" applyBorder="1" applyProtection="1"/>
    <xf numFmtId="0" fontId="1" fillId="2" borderId="13" xfId="0" applyFont="1" applyFill="1" applyBorder="1"/>
    <xf numFmtId="0" fontId="1" fillId="3" borderId="1" xfId="2" applyNumberFormat="1" applyFont="1" applyFill="1" applyBorder="1"/>
    <xf numFmtId="43" fontId="1" fillId="3" borderId="11" xfId="1" applyFont="1" applyFill="1" applyBorder="1" applyAlignment="1" applyProtection="1"/>
    <xf numFmtId="43" fontId="1" fillId="3" borderId="9" xfId="1" applyFont="1" applyFill="1" applyBorder="1" applyAlignment="1" applyProtection="1"/>
    <xf numFmtId="0" fontId="1" fillId="2" borderId="13" xfId="0" quotePrefix="1" applyFont="1" applyFill="1" applyBorder="1" applyAlignment="1">
      <alignment horizontal="left" wrapText="1"/>
    </xf>
    <xf numFmtId="0" fontId="1" fillId="2" borderId="9" xfId="0" quotePrefix="1" applyFont="1" applyFill="1" applyBorder="1" applyAlignment="1">
      <alignment horizontal="left" wrapText="1"/>
    </xf>
    <xf numFmtId="0" fontId="15" fillId="14" borderId="0" xfId="6" applyFont="1" applyAlignment="1"/>
  </cellXfs>
  <cellStyles count="8">
    <cellStyle name="60% - Accent1" xfId="7" builtinId="32"/>
    <cellStyle name="Accent1" xfId="6" builtinId="29"/>
    <cellStyle name="Comma" xfId="1" builtinId="3"/>
    <cellStyle name="Currency" xfId="2" builtinId="4"/>
    <cellStyle name="Hyperlink" xfId="5" builtinId="8"/>
    <cellStyle name="Normal" xfId="0" builtinId="0"/>
    <cellStyle name="Normal 2" xfId="3" xr:uid="{00000000-0005-0000-0000-000006000000}"/>
    <cellStyle name="Per cent" xfId="4" builtinId="5"/>
  </cellStyles>
  <dxfs count="6">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892387</xdr:colOff>
      <xdr:row>1</xdr:row>
      <xdr:rowOff>287443</xdr:rowOff>
    </xdr:to>
    <xdr:pic>
      <xdr:nvPicPr>
        <xdr:cNvPr id="3" name="image1.jpe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tretch>
          <a:fillRect/>
        </a:stretch>
      </xdr:blipFill>
      <xdr:spPr>
        <a:xfrm>
          <a:off x="95250" y="74083"/>
          <a:ext cx="2480945" cy="582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2" name="Picture 1" descr="CFCU_CU_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66675" y="38100"/>
          <a:ext cx="2743200"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617220</xdr:colOff>
          <xdr:row>2</xdr:row>
          <xdr:rowOff>30480</xdr:rowOff>
        </xdr:from>
        <xdr:to>
          <xdr:col>5</xdr:col>
          <xdr:colOff>906780</xdr:colOff>
          <xdr:row>4</xdr:row>
          <xdr:rowOff>121920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30480</xdr:rowOff>
        </xdr:from>
        <xdr:to>
          <xdr:col>4</xdr:col>
          <xdr:colOff>236220</xdr:colOff>
          <xdr:row>4</xdr:row>
          <xdr:rowOff>121920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3" activePane="bottomLeft" state="frozen"/>
      <selection pane="bottomLeft" activeCell="J8" sqref="J8"/>
      <selection activeCell="J8" sqref="J8"/>
    </sheetView>
  </sheetViews>
  <sheetFormatPr defaultColWidth="9.140625" defaultRowHeight="13.15"/>
  <cols>
    <col min="1" max="1" width="28.5703125" style="4" customWidth="1"/>
    <col min="2" max="2" width="20.5703125" style="54" customWidth="1"/>
    <col min="3" max="3" width="20.5703125" style="4" customWidth="1"/>
    <col min="4" max="4" width="20.42578125" style="4" customWidth="1"/>
    <col min="5" max="5" width="20.5703125" style="4" customWidth="1"/>
    <col min="6" max="6" width="34.42578125" style="4" customWidth="1"/>
    <col min="7" max="7" width="1.140625" style="4" customWidth="1"/>
    <col min="8" max="16384" width="9.140625" style="4"/>
  </cols>
  <sheetData>
    <row r="1" spans="1:6" ht="15.6">
      <c r="A1" s="239" t="s">
        <v>0</v>
      </c>
      <c r="B1" s="240"/>
      <c r="C1" s="240"/>
      <c r="D1" s="240"/>
      <c r="E1" s="240"/>
      <c r="F1" s="51" t="str">
        <f>Main!J1</f>
        <v>CFCU V13.17 - Feb 24</v>
      </c>
    </row>
    <row r="2" spans="1:6" ht="15.6">
      <c r="A2" s="241"/>
      <c r="B2" s="242"/>
      <c r="C2" s="242"/>
      <c r="D2" s="242"/>
      <c r="E2" s="242"/>
      <c r="F2" s="243"/>
    </row>
    <row r="3" spans="1:6" s="6" customFormat="1" ht="15">
      <c r="A3" s="222" t="s">
        <v>1</v>
      </c>
      <c r="B3" s="223"/>
      <c r="C3" s="223"/>
      <c r="D3" s="223"/>
      <c r="E3" s="223"/>
      <c r="F3" s="224"/>
    </row>
    <row r="4" spans="1:6" s="6" customFormat="1" ht="3.95" customHeight="1">
      <c r="A4" s="216"/>
      <c r="B4" s="217"/>
      <c r="C4" s="217"/>
      <c r="D4" s="217"/>
      <c r="E4" s="217"/>
      <c r="F4" s="218"/>
    </row>
    <row r="5" spans="1:6" s="6" customFormat="1" ht="15">
      <c r="A5" s="52" t="s">
        <v>2</v>
      </c>
      <c r="B5" s="225" t="s">
        <v>3</v>
      </c>
      <c r="C5" s="225"/>
      <c r="D5" s="225"/>
      <c r="E5" s="225"/>
      <c r="F5" s="352"/>
    </row>
    <row r="6" spans="1:6" s="6" customFormat="1" ht="3.95" customHeight="1">
      <c r="A6" s="216"/>
      <c r="B6" s="217"/>
      <c r="C6" s="217"/>
      <c r="D6" s="217"/>
      <c r="E6" s="217"/>
      <c r="F6" s="218"/>
    </row>
    <row r="7" spans="1:6" s="6" customFormat="1" ht="15">
      <c r="A7" s="353" t="s">
        <v>4</v>
      </c>
      <c r="B7" s="219" t="s">
        <v>5</v>
      </c>
      <c r="C7" s="225"/>
      <c r="D7" s="225"/>
      <c r="E7" s="225"/>
      <c r="F7" s="352"/>
    </row>
    <row r="8" spans="1:6" s="6" customFormat="1" ht="3.95" customHeight="1">
      <c r="A8" s="216"/>
      <c r="B8" s="217"/>
      <c r="C8" s="217"/>
      <c r="D8" s="217"/>
      <c r="E8" s="217"/>
      <c r="F8" s="218"/>
    </row>
    <row r="9" spans="1:6" s="6" customFormat="1" ht="15">
      <c r="A9" s="353" t="s">
        <v>6</v>
      </c>
      <c r="B9" s="219" t="s">
        <v>7</v>
      </c>
      <c r="C9" s="225"/>
      <c r="D9" s="225"/>
      <c r="E9" s="225"/>
      <c r="F9" s="352"/>
    </row>
    <row r="10" spans="1:6" s="6" customFormat="1" ht="3.95" customHeight="1">
      <c r="A10" s="216"/>
      <c r="B10" s="217"/>
      <c r="C10" s="217"/>
      <c r="D10" s="217"/>
      <c r="E10" s="217"/>
      <c r="F10" s="218"/>
    </row>
    <row r="11" spans="1:6" s="6" customFormat="1" ht="15">
      <c r="A11" s="52" t="s">
        <v>8</v>
      </c>
      <c r="B11" s="219" t="s">
        <v>9</v>
      </c>
      <c r="C11" s="225"/>
      <c r="D11" s="225"/>
      <c r="E11" s="225"/>
      <c r="F11" s="352"/>
    </row>
    <row r="12" spans="1:6" s="6" customFormat="1" ht="3.95" customHeight="1">
      <c r="A12" s="216"/>
      <c r="B12" s="217"/>
      <c r="C12" s="217"/>
      <c r="D12" s="217"/>
      <c r="E12" s="217"/>
      <c r="F12" s="218"/>
    </row>
    <row r="13" spans="1:6" s="6" customFormat="1" ht="15">
      <c r="A13" s="135" t="s">
        <v>10</v>
      </c>
      <c r="B13" s="219" t="s">
        <v>11</v>
      </c>
      <c r="C13" s="225"/>
      <c r="D13" s="225"/>
      <c r="E13" s="225"/>
      <c r="F13" s="352"/>
    </row>
    <row r="14" spans="1:6" s="6" customFormat="1" ht="15">
      <c r="A14" s="354"/>
      <c r="B14" s="225" t="s">
        <v>12</v>
      </c>
      <c r="C14" s="225"/>
      <c r="D14" s="225"/>
      <c r="E14" s="225"/>
      <c r="F14" s="352"/>
    </row>
    <row r="15" spans="1:6" s="6" customFormat="1" ht="3.95" customHeight="1">
      <c r="A15" s="232"/>
      <c r="B15" s="233"/>
      <c r="C15" s="233"/>
      <c r="D15" s="233"/>
      <c r="E15" s="233"/>
      <c r="F15" s="234"/>
    </row>
    <row r="16" spans="1:6" s="6" customFormat="1" ht="3.95" customHeight="1">
      <c r="A16" s="229"/>
      <c r="B16" s="230"/>
      <c r="C16" s="230"/>
      <c r="D16" s="230"/>
      <c r="E16" s="230"/>
      <c r="F16" s="231"/>
    </row>
    <row r="17" spans="1:6" ht="3.95" customHeight="1">
      <c r="A17" s="235"/>
      <c r="B17" s="236"/>
      <c r="C17" s="236"/>
      <c r="D17" s="236"/>
      <c r="E17" s="236"/>
      <c r="F17" s="237"/>
    </row>
    <row r="18" spans="1:6" s="6" customFormat="1" ht="15">
      <c r="A18" s="52" t="s">
        <v>13</v>
      </c>
      <c r="B18" s="219" t="s">
        <v>14</v>
      </c>
      <c r="C18" s="225"/>
      <c r="D18" s="225"/>
      <c r="E18" s="225"/>
      <c r="F18" s="352"/>
    </row>
    <row r="19" spans="1:6" s="6" customFormat="1" ht="3.95" customHeight="1">
      <c r="A19" s="216"/>
      <c r="B19" s="217"/>
      <c r="C19" s="217"/>
      <c r="D19" s="217"/>
      <c r="E19" s="217"/>
      <c r="F19" s="218"/>
    </row>
    <row r="20" spans="1:6" s="138" customFormat="1" ht="29.25" customHeight="1">
      <c r="A20" s="137" t="s">
        <v>15</v>
      </c>
      <c r="B20" s="238" t="s">
        <v>16</v>
      </c>
      <c r="C20" s="355"/>
      <c r="D20" s="355"/>
      <c r="E20" s="355"/>
      <c r="F20" s="356"/>
    </row>
    <row r="21" spans="1:6" s="6" customFormat="1" ht="15">
      <c r="A21" s="216"/>
      <c r="B21" s="217"/>
      <c r="C21" s="217"/>
      <c r="D21" s="217"/>
      <c r="E21" s="217"/>
      <c r="F21" s="218"/>
    </row>
    <row r="22" spans="1:6" s="6" customFormat="1" ht="15">
      <c r="A22" s="52" t="s">
        <v>17</v>
      </c>
      <c r="B22" s="357" t="s">
        <v>18</v>
      </c>
      <c r="C22" s="219"/>
      <c r="D22" s="219"/>
      <c r="E22" s="219"/>
      <c r="F22" s="358"/>
    </row>
    <row r="23" spans="1:6" s="6" customFormat="1" ht="15">
      <c r="A23" s="52" t="s">
        <v>19</v>
      </c>
      <c r="B23" s="357" t="s">
        <v>20</v>
      </c>
      <c r="C23" s="219"/>
      <c r="D23" s="219"/>
      <c r="E23" s="219"/>
      <c r="F23" s="358"/>
    </row>
    <row r="24" spans="1:6" s="6" customFormat="1" ht="15">
      <c r="A24" s="216"/>
      <c r="B24" s="217"/>
      <c r="C24" s="217"/>
      <c r="D24" s="217"/>
      <c r="E24" s="217"/>
      <c r="F24" s="218"/>
    </row>
    <row r="25" spans="1:6" s="6" customFormat="1" ht="15" customHeight="1">
      <c r="A25" s="55" t="s">
        <v>21</v>
      </c>
      <c r="B25" s="244" t="s">
        <v>22</v>
      </c>
      <c r="C25" s="245"/>
      <c r="D25" s="245"/>
      <c r="E25" s="245"/>
      <c r="F25" s="246"/>
    </row>
    <row r="26" spans="1:6" s="6" customFormat="1" ht="15">
      <c r="A26" s="359"/>
      <c r="B26" s="247"/>
      <c r="C26" s="245"/>
      <c r="D26" s="245"/>
      <c r="E26" s="245"/>
      <c r="F26" s="246"/>
    </row>
    <row r="27" spans="1:6" s="6" customFormat="1" ht="15">
      <c r="A27" s="354"/>
      <c r="B27" s="247"/>
      <c r="C27" s="245"/>
      <c r="D27" s="245"/>
      <c r="E27" s="245"/>
      <c r="F27" s="246"/>
    </row>
    <row r="28" spans="1:6" s="6" customFormat="1" ht="15">
      <c r="A28" s="216"/>
      <c r="B28" s="217"/>
      <c r="C28" s="217"/>
      <c r="D28" s="217"/>
      <c r="E28" s="217"/>
      <c r="F28" s="218"/>
    </row>
    <row r="29" spans="1:6" s="6" customFormat="1" ht="15">
      <c r="A29" s="135" t="s">
        <v>23</v>
      </c>
      <c r="B29" s="225" t="s">
        <v>24</v>
      </c>
      <c r="C29" s="225"/>
      <c r="D29" s="225"/>
      <c r="E29" s="225"/>
      <c r="F29" s="352"/>
    </row>
    <row r="30" spans="1:6" s="6" customFormat="1" ht="15">
      <c r="A30" s="354"/>
      <c r="B30" s="225" t="s">
        <v>25</v>
      </c>
      <c r="C30" s="225"/>
      <c r="D30" s="225"/>
      <c r="E30" s="225"/>
      <c r="F30" s="352"/>
    </row>
    <row r="31" spans="1:6" s="6" customFormat="1" ht="15">
      <c r="A31" s="216"/>
      <c r="B31" s="217"/>
      <c r="C31" s="217"/>
      <c r="D31" s="217"/>
      <c r="E31" s="217"/>
      <c r="F31" s="218"/>
    </row>
    <row r="32" spans="1:6" s="6" customFormat="1" ht="15">
      <c r="A32" s="222" t="s">
        <v>26</v>
      </c>
      <c r="B32" s="223"/>
      <c r="C32" s="223"/>
      <c r="D32" s="223"/>
      <c r="E32" s="223"/>
      <c r="F32" s="224"/>
    </row>
    <row r="33" spans="1:256" s="6" customFormat="1" ht="15">
      <c r="A33" s="216"/>
      <c r="B33" s="217"/>
      <c r="C33" s="217"/>
      <c r="D33" s="217"/>
      <c r="E33" s="217"/>
      <c r="F33" s="218"/>
    </row>
    <row r="34" spans="1:256" s="6" customFormat="1" ht="15">
      <c r="A34" s="52" t="s">
        <v>27</v>
      </c>
      <c r="B34" s="219" t="s">
        <v>28</v>
      </c>
      <c r="C34" s="225"/>
      <c r="D34" s="225"/>
      <c r="E34" s="225"/>
      <c r="F34" s="352"/>
    </row>
    <row r="35" spans="1:256" s="6" customFormat="1" ht="15">
      <c r="A35" s="23"/>
      <c r="B35" s="219" t="s">
        <v>29</v>
      </c>
      <c r="C35" s="225"/>
      <c r="D35" s="225"/>
      <c r="E35" s="225"/>
      <c r="F35" s="352"/>
    </row>
    <row r="36" spans="1:256" s="6" customFormat="1" ht="15">
      <c r="A36" s="216"/>
      <c r="B36" s="217"/>
      <c r="C36" s="217"/>
      <c r="D36" s="217"/>
      <c r="E36" s="217"/>
      <c r="F36" s="218"/>
    </row>
    <row r="37" spans="1:256" s="6" customFormat="1" ht="15">
      <c r="A37" s="353" t="s">
        <v>30</v>
      </c>
      <c r="B37" s="219" t="s">
        <v>31</v>
      </c>
      <c r="C37" s="225"/>
      <c r="D37" s="225"/>
      <c r="E37" s="225"/>
      <c r="F37" s="352"/>
    </row>
    <row r="38" spans="1:256" s="6" customFormat="1" ht="15">
      <c r="A38" s="23"/>
      <c r="B38" s="219" t="s">
        <v>32</v>
      </c>
      <c r="C38" s="225"/>
      <c r="D38" s="225"/>
      <c r="E38" s="225"/>
      <c r="F38" s="352"/>
    </row>
    <row r="39" spans="1:256" s="6" customFormat="1" ht="15">
      <c r="A39" s="23"/>
      <c r="B39" s="219" t="s">
        <v>33</v>
      </c>
      <c r="C39" s="225"/>
      <c r="D39" s="225"/>
      <c r="E39" s="225"/>
      <c r="F39" s="352"/>
    </row>
    <row r="40" spans="1:256" s="6" customFormat="1" ht="15">
      <c r="A40" s="23"/>
      <c r="B40" s="219" t="s">
        <v>34</v>
      </c>
      <c r="C40" s="225"/>
      <c r="D40" s="225"/>
      <c r="E40" s="225"/>
      <c r="F40" s="352"/>
    </row>
    <row r="41" spans="1:256" s="6" customFormat="1" ht="15">
      <c r="A41" s="232"/>
      <c r="B41" s="233"/>
      <c r="C41" s="233"/>
      <c r="D41" s="233"/>
      <c r="E41" s="233"/>
      <c r="F41" s="234"/>
    </row>
    <row r="42" spans="1:256" s="6" customFormat="1" ht="15">
      <c r="A42" s="222" t="s">
        <v>35</v>
      </c>
      <c r="B42" s="223"/>
      <c r="C42" s="223"/>
      <c r="D42" s="223"/>
      <c r="E42" s="223"/>
      <c r="F42" s="224"/>
    </row>
    <row r="43" spans="1:256" s="6" customFormat="1" ht="15">
      <c r="A43" s="229"/>
      <c r="B43" s="230"/>
      <c r="C43" s="230"/>
      <c r="D43" s="230"/>
      <c r="E43" s="230"/>
      <c r="F43" s="231"/>
    </row>
    <row r="44" spans="1:256" s="6" customFormat="1" ht="15">
      <c r="A44" s="52" t="s">
        <v>36</v>
      </c>
      <c r="B44" s="219" t="s">
        <v>37</v>
      </c>
      <c r="C44" s="225"/>
      <c r="D44" s="225"/>
      <c r="E44" s="225"/>
      <c r="F44" s="352"/>
    </row>
    <row r="45" spans="1:256" s="6" customFormat="1" ht="15">
      <c r="A45" s="216"/>
      <c r="B45" s="217"/>
      <c r="C45" s="217"/>
      <c r="D45" s="217"/>
      <c r="E45" s="217"/>
      <c r="F45" s="218"/>
    </row>
    <row r="46" spans="1:256" s="6" customFormat="1" ht="15">
      <c r="A46" s="52" t="s">
        <v>38</v>
      </c>
      <c r="B46" s="219" t="s">
        <v>39</v>
      </c>
      <c r="C46" s="225"/>
      <c r="D46" s="225"/>
      <c r="E46" s="225"/>
      <c r="F46" s="352"/>
    </row>
    <row r="47" spans="1:256" s="7" customFormat="1">
      <c r="A47" s="216"/>
      <c r="B47" s="217"/>
      <c r="C47" s="217"/>
      <c r="D47" s="217"/>
      <c r="E47" s="217"/>
      <c r="F47" s="218"/>
      <c r="G47" s="217"/>
      <c r="H47" s="217"/>
      <c r="I47" s="217"/>
      <c r="J47" s="217"/>
      <c r="K47" s="217"/>
      <c r="L47" s="218"/>
      <c r="M47" s="216"/>
      <c r="N47" s="217"/>
      <c r="O47" s="217"/>
      <c r="P47" s="217"/>
      <c r="Q47" s="217"/>
      <c r="R47" s="218"/>
      <c r="S47" s="216"/>
      <c r="T47" s="217"/>
      <c r="U47" s="217"/>
      <c r="V47" s="217"/>
      <c r="W47" s="217"/>
      <c r="X47" s="218"/>
      <c r="Y47" s="216"/>
      <c r="Z47" s="217"/>
      <c r="AA47" s="217"/>
      <c r="AB47" s="217"/>
      <c r="AC47" s="217"/>
      <c r="AD47" s="218"/>
      <c r="AE47" s="216"/>
      <c r="AF47" s="217"/>
      <c r="AG47" s="217"/>
      <c r="AH47" s="217"/>
      <c r="AI47" s="217"/>
      <c r="AJ47" s="218"/>
      <c r="AK47" s="216"/>
      <c r="AL47" s="217"/>
      <c r="AM47" s="217"/>
      <c r="AN47" s="217"/>
      <c r="AO47" s="217"/>
      <c r="AP47" s="218"/>
      <c r="AQ47" s="216"/>
      <c r="AR47" s="217"/>
      <c r="AS47" s="217"/>
      <c r="AT47" s="217"/>
      <c r="AU47" s="217"/>
      <c r="AV47" s="218"/>
      <c r="AW47" s="216"/>
      <c r="AX47" s="217"/>
      <c r="AY47" s="217"/>
      <c r="AZ47" s="217"/>
      <c r="BA47" s="217"/>
      <c r="BB47" s="218"/>
      <c r="BC47" s="216"/>
      <c r="BD47" s="217"/>
      <c r="BE47" s="217"/>
      <c r="BF47" s="217"/>
      <c r="BG47" s="217"/>
      <c r="BH47" s="218"/>
      <c r="BI47" s="216"/>
      <c r="BJ47" s="217"/>
      <c r="BK47" s="217"/>
      <c r="BL47" s="217"/>
      <c r="BM47" s="217"/>
      <c r="BN47" s="218"/>
      <c r="BO47" s="216"/>
      <c r="BP47" s="217"/>
      <c r="BQ47" s="217"/>
      <c r="BR47" s="217"/>
      <c r="BS47" s="217"/>
      <c r="BT47" s="218"/>
      <c r="BU47" s="216"/>
      <c r="BV47" s="217"/>
      <c r="BW47" s="217"/>
      <c r="BX47" s="217"/>
      <c r="BY47" s="217"/>
      <c r="BZ47" s="218"/>
      <c r="CA47" s="216"/>
      <c r="CB47" s="217"/>
      <c r="CC47" s="217"/>
      <c r="CD47" s="217"/>
      <c r="CE47" s="217"/>
      <c r="CF47" s="218"/>
      <c r="CG47" s="216"/>
      <c r="CH47" s="217"/>
      <c r="CI47" s="217"/>
      <c r="CJ47" s="217"/>
      <c r="CK47" s="217"/>
      <c r="CL47" s="218"/>
      <c r="CM47" s="216"/>
      <c r="CN47" s="217"/>
      <c r="CO47" s="217"/>
      <c r="CP47" s="217"/>
      <c r="CQ47" s="217"/>
      <c r="CR47" s="218"/>
      <c r="CS47" s="216"/>
      <c r="CT47" s="217"/>
      <c r="CU47" s="217"/>
      <c r="CV47" s="217"/>
      <c r="CW47" s="217"/>
      <c r="CX47" s="218"/>
      <c r="CY47" s="216"/>
      <c r="CZ47" s="217"/>
      <c r="DA47" s="217"/>
      <c r="DB47" s="217"/>
      <c r="DC47" s="217"/>
      <c r="DD47" s="218"/>
      <c r="DE47" s="216"/>
      <c r="DF47" s="217"/>
      <c r="DG47" s="217"/>
      <c r="DH47" s="217"/>
      <c r="DI47" s="217"/>
      <c r="DJ47" s="218"/>
      <c r="DK47" s="216"/>
      <c r="DL47" s="217"/>
      <c r="DM47" s="217"/>
      <c r="DN47" s="217"/>
      <c r="DO47" s="217"/>
      <c r="DP47" s="218"/>
      <c r="DQ47" s="216"/>
      <c r="DR47" s="217"/>
      <c r="DS47" s="217"/>
      <c r="DT47" s="217"/>
      <c r="DU47" s="217"/>
      <c r="DV47" s="218"/>
      <c r="DW47" s="216"/>
      <c r="DX47" s="217"/>
      <c r="DY47" s="217"/>
      <c r="DZ47" s="217"/>
      <c r="EA47" s="217"/>
      <c r="EB47" s="218"/>
      <c r="EC47" s="216"/>
      <c r="ED47" s="217"/>
      <c r="EE47" s="217"/>
      <c r="EF47" s="217"/>
      <c r="EG47" s="217"/>
      <c r="EH47" s="218"/>
      <c r="EI47" s="216"/>
      <c r="EJ47" s="217"/>
      <c r="EK47" s="217"/>
      <c r="EL47" s="217"/>
      <c r="EM47" s="217"/>
      <c r="EN47" s="218"/>
      <c r="EO47" s="216"/>
      <c r="EP47" s="217"/>
      <c r="EQ47" s="217"/>
      <c r="ER47" s="217"/>
      <c r="ES47" s="217"/>
      <c r="ET47" s="218"/>
      <c r="EU47" s="216"/>
      <c r="EV47" s="217"/>
      <c r="EW47" s="217"/>
      <c r="EX47" s="217"/>
      <c r="EY47" s="217"/>
      <c r="EZ47" s="218"/>
      <c r="FA47" s="216"/>
      <c r="FB47" s="217"/>
      <c r="FC47" s="217"/>
      <c r="FD47" s="217"/>
      <c r="FE47" s="217"/>
      <c r="FF47" s="218"/>
      <c r="FG47" s="216"/>
      <c r="FH47" s="217"/>
      <c r="FI47" s="217"/>
      <c r="FJ47" s="217"/>
      <c r="FK47" s="217"/>
      <c r="FL47" s="218"/>
      <c r="FM47" s="216"/>
      <c r="FN47" s="217"/>
      <c r="FO47" s="217"/>
      <c r="FP47" s="217"/>
      <c r="FQ47" s="217"/>
      <c r="FR47" s="218"/>
      <c r="FS47" s="216"/>
      <c r="FT47" s="217"/>
      <c r="FU47" s="217"/>
      <c r="FV47" s="217"/>
      <c r="FW47" s="217"/>
      <c r="FX47" s="218"/>
      <c r="FY47" s="216"/>
      <c r="FZ47" s="217"/>
      <c r="GA47" s="217"/>
      <c r="GB47" s="217"/>
      <c r="GC47" s="217"/>
      <c r="GD47" s="218"/>
      <c r="GE47" s="216"/>
      <c r="GF47" s="217"/>
      <c r="GG47" s="217"/>
      <c r="GH47" s="217"/>
      <c r="GI47" s="217"/>
      <c r="GJ47" s="218"/>
      <c r="GK47" s="216"/>
      <c r="GL47" s="217"/>
      <c r="GM47" s="217"/>
      <c r="GN47" s="217"/>
      <c r="GO47" s="217"/>
      <c r="GP47" s="218"/>
      <c r="GQ47" s="216"/>
      <c r="GR47" s="217"/>
      <c r="GS47" s="217"/>
      <c r="GT47" s="217"/>
      <c r="GU47" s="217"/>
      <c r="GV47" s="218"/>
      <c r="GW47" s="216"/>
      <c r="GX47" s="217"/>
      <c r="GY47" s="217"/>
      <c r="GZ47" s="217"/>
      <c r="HA47" s="217"/>
      <c r="HB47" s="218"/>
      <c r="HC47" s="216"/>
      <c r="HD47" s="217"/>
      <c r="HE47" s="217"/>
      <c r="HF47" s="217"/>
      <c r="HG47" s="217"/>
      <c r="HH47" s="218"/>
      <c r="HI47" s="216"/>
      <c r="HJ47" s="217"/>
      <c r="HK47" s="217"/>
      <c r="HL47" s="217"/>
      <c r="HM47" s="217"/>
      <c r="HN47" s="218"/>
      <c r="HO47" s="216"/>
      <c r="HP47" s="217"/>
      <c r="HQ47" s="217"/>
      <c r="HR47" s="217"/>
      <c r="HS47" s="217"/>
      <c r="HT47" s="218"/>
      <c r="HU47" s="216"/>
      <c r="HV47" s="217"/>
      <c r="HW47" s="217"/>
      <c r="HX47" s="217"/>
      <c r="HY47" s="217"/>
      <c r="HZ47" s="218"/>
      <c r="IA47" s="216"/>
      <c r="IB47" s="217"/>
      <c r="IC47" s="217"/>
      <c r="ID47" s="217"/>
      <c r="IE47" s="217"/>
      <c r="IF47" s="218"/>
      <c r="IG47" s="216"/>
      <c r="IH47" s="217"/>
      <c r="II47" s="217"/>
      <c r="IJ47" s="217"/>
      <c r="IK47" s="217"/>
      <c r="IL47" s="218"/>
      <c r="IM47" s="216"/>
      <c r="IN47" s="217"/>
      <c r="IO47" s="217"/>
      <c r="IP47" s="217"/>
      <c r="IQ47" s="217"/>
      <c r="IR47" s="218"/>
      <c r="IS47" s="216"/>
      <c r="IT47" s="217"/>
      <c r="IU47" s="217"/>
      <c r="IV47" s="217"/>
    </row>
    <row r="48" spans="1:256" s="6" customFormat="1" ht="15">
      <c r="A48" s="52" t="s">
        <v>40</v>
      </c>
      <c r="B48" s="245" t="s">
        <v>41</v>
      </c>
      <c r="C48" s="245"/>
      <c r="D48" s="245"/>
      <c r="E48" s="245"/>
      <c r="F48" s="246"/>
    </row>
    <row r="49" spans="1:6" s="6" customFormat="1" ht="15">
      <c r="A49" s="23"/>
      <c r="B49" s="245"/>
      <c r="C49" s="245"/>
      <c r="D49" s="245"/>
      <c r="E49" s="245"/>
      <c r="F49" s="246"/>
    </row>
    <row r="50" spans="1:6" s="6" customFormat="1" ht="15">
      <c r="A50" s="52" t="s">
        <v>42</v>
      </c>
      <c r="B50" s="245" t="s">
        <v>43</v>
      </c>
      <c r="C50" s="245"/>
      <c r="D50" s="245"/>
      <c r="E50" s="245"/>
      <c r="F50" s="246"/>
    </row>
    <row r="51" spans="1:6" s="6" customFormat="1" ht="15">
      <c r="A51" s="23"/>
      <c r="B51" s="245"/>
      <c r="C51" s="245"/>
      <c r="D51" s="245"/>
      <c r="E51" s="245"/>
      <c r="F51" s="246"/>
    </row>
    <row r="52" spans="1:6" s="6" customFormat="1" ht="15">
      <c r="A52" s="52" t="s">
        <v>44</v>
      </c>
      <c r="B52" s="245" t="s">
        <v>45</v>
      </c>
      <c r="C52" s="245"/>
      <c r="D52" s="245"/>
      <c r="E52" s="245"/>
      <c r="F52" s="246"/>
    </row>
    <row r="53" spans="1:6" s="6" customFormat="1" ht="15">
      <c r="A53" s="23"/>
      <c r="B53" s="245"/>
      <c r="C53" s="245"/>
      <c r="D53" s="245"/>
      <c r="E53" s="245"/>
      <c r="F53" s="246"/>
    </row>
    <row r="54" spans="1:6" s="6" customFormat="1" ht="15">
      <c r="A54" s="216"/>
      <c r="B54" s="217"/>
      <c r="C54" s="217"/>
      <c r="D54" s="217"/>
      <c r="E54" s="217"/>
      <c r="F54" s="218"/>
    </row>
    <row r="55" spans="1:6" s="6" customFormat="1" ht="15">
      <c r="A55" s="353" t="s">
        <v>46</v>
      </c>
      <c r="B55" s="219" t="s">
        <v>47</v>
      </c>
      <c r="C55" s="225"/>
      <c r="D55" s="225"/>
      <c r="E55" s="225"/>
      <c r="F55" s="352"/>
    </row>
    <row r="56" spans="1:6" s="6" customFormat="1" ht="15">
      <c r="A56" s="23"/>
      <c r="B56" s="219" t="s">
        <v>48</v>
      </c>
      <c r="C56" s="225"/>
      <c r="D56" s="225"/>
      <c r="E56" s="225"/>
      <c r="F56" s="352"/>
    </row>
    <row r="57" spans="1:6" s="6" customFormat="1" ht="15">
      <c r="A57" s="216"/>
      <c r="B57" s="217"/>
      <c r="C57" s="217"/>
      <c r="D57" s="217"/>
      <c r="E57" s="217"/>
      <c r="F57" s="218"/>
    </row>
    <row r="58" spans="1:6" s="6" customFormat="1" ht="15">
      <c r="A58" s="52" t="s">
        <v>49</v>
      </c>
      <c r="B58" s="219" t="s">
        <v>50</v>
      </c>
      <c r="C58" s="225"/>
      <c r="D58" s="225"/>
      <c r="E58" s="225"/>
      <c r="F58" s="352"/>
    </row>
    <row r="59" spans="1:6" s="6" customFormat="1" ht="15">
      <c r="A59" s="232"/>
      <c r="B59" s="233"/>
      <c r="C59" s="233"/>
      <c r="D59" s="233"/>
      <c r="E59" s="233"/>
      <c r="F59" s="234"/>
    </row>
    <row r="60" spans="1:6" s="6" customFormat="1" ht="15">
      <c r="A60" s="222" t="s">
        <v>51</v>
      </c>
      <c r="B60" s="223"/>
      <c r="C60" s="223"/>
      <c r="D60" s="223"/>
      <c r="E60" s="223"/>
      <c r="F60" s="224"/>
    </row>
    <row r="61" spans="1:6" s="6" customFormat="1" ht="15">
      <c r="A61" s="216"/>
      <c r="B61" s="217"/>
      <c r="C61" s="217"/>
      <c r="D61" s="217"/>
      <c r="E61" s="217"/>
      <c r="F61" s="218"/>
    </row>
    <row r="62" spans="1:6" s="6" customFormat="1" ht="15">
      <c r="A62" s="353" t="s">
        <v>52</v>
      </c>
      <c r="B62" s="219" t="s">
        <v>53</v>
      </c>
      <c r="C62" s="225"/>
      <c r="D62" s="225"/>
      <c r="E62" s="225"/>
      <c r="F62" s="352"/>
    </row>
    <row r="63" spans="1:6" s="6" customFormat="1" ht="15">
      <c r="A63" s="216"/>
      <c r="B63" s="217"/>
      <c r="C63" s="217"/>
      <c r="D63" s="217"/>
      <c r="E63" s="217"/>
      <c r="F63" s="218"/>
    </row>
    <row r="64" spans="1:6" s="6" customFormat="1" ht="15">
      <c r="A64" s="353" t="s">
        <v>54</v>
      </c>
      <c r="B64" s="360" t="s">
        <v>55</v>
      </c>
      <c r="C64" s="225"/>
      <c r="D64" s="225"/>
      <c r="E64" s="225"/>
      <c r="F64" s="352"/>
    </row>
    <row r="65" spans="1:6" s="6" customFormat="1" ht="15">
      <c r="A65" s="23"/>
      <c r="B65" s="361" t="s">
        <v>56</v>
      </c>
      <c r="C65" s="361"/>
      <c r="D65" s="361"/>
      <c r="E65" s="361"/>
      <c r="F65" s="362"/>
    </row>
    <row r="66" spans="1:6" s="6" customFormat="1" ht="15">
      <c r="A66" s="23"/>
      <c r="B66" s="361" t="s">
        <v>57</v>
      </c>
      <c r="C66" s="361"/>
      <c r="D66" s="361"/>
      <c r="E66" s="361"/>
      <c r="F66" s="362"/>
    </row>
    <row r="67" spans="1:6" s="6" customFormat="1" ht="15">
      <c r="A67" s="23"/>
      <c r="B67" s="361" t="s">
        <v>58</v>
      </c>
      <c r="C67" s="361"/>
      <c r="D67" s="361"/>
      <c r="E67" s="361"/>
      <c r="F67" s="362"/>
    </row>
    <row r="68" spans="1:6" s="6" customFormat="1" ht="15">
      <c r="A68" s="216"/>
      <c r="B68" s="217"/>
      <c r="C68" s="217"/>
      <c r="D68" s="217"/>
      <c r="E68" s="217"/>
      <c r="F68" s="218"/>
    </row>
    <row r="69" spans="1:6" s="6" customFormat="1" ht="15">
      <c r="A69" s="52" t="s">
        <v>59</v>
      </c>
      <c r="B69" s="225" t="s">
        <v>60</v>
      </c>
      <c r="C69" s="225"/>
      <c r="D69" s="225"/>
      <c r="E69" s="225"/>
      <c r="F69" s="352"/>
    </row>
    <row r="70" spans="1:6" s="6" customFormat="1" ht="15">
      <c r="A70" s="226"/>
      <c r="B70" s="227"/>
      <c r="C70" s="227"/>
      <c r="D70" s="227"/>
      <c r="E70" s="227"/>
      <c r="F70" s="228"/>
    </row>
    <row r="71" spans="1:6" s="6" customFormat="1" ht="15">
      <c r="A71" s="52" t="s">
        <v>61</v>
      </c>
      <c r="B71" s="225" t="s">
        <v>62</v>
      </c>
      <c r="C71" s="225"/>
      <c r="D71" s="225"/>
      <c r="E71" s="225"/>
      <c r="F71" s="352"/>
    </row>
    <row r="72" spans="1:6" s="6" customFormat="1" ht="15">
      <c r="A72" s="226"/>
      <c r="B72" s="227"/>
      <c r="C72" s="227"/>
      <c r="D72" s="227"/>
      <c r="E72" s="227"/>
      <c r="F72" s="228"/>
    </row>
    <row r="73" spans="1:6" s="6" customFormat="1" ht="15">
      <c r="A73" s="52" t="s">
        <v>63</v>
      </c>
      <c r="B73" s="225" t="s">
        <v>64</v>
      </c>
      <c r="C73" s="225"/>
      <c r="D73" s="225"/>
      <c r="E73" s="225"/>
      <c r="F73" s="352"/>
    </row>
    <row r="74" spans="1:6" s="6" customFormat="1" ht="15">
      <c r="A74" s="226"/>
      <c r="B74" s="227"/>
      <c r="C74" s="227"/>
      <c r="D74" s="227"/>
      <c r="E74" s="227"/>
      <c r="F74" s="228"/>
    </row>
    <row r="75" spans="1:6" s="6" customFormat="1" ht="15">
      <c r="A75" s="52" t="s">
        <v>65</v>
      </c>
      <c r="B75" s="225" t="s">
        <v>66</v>
      </c>
      <c r="C75" s="225"/>
      <c r="D75" s="225"/>
      <c r="E75" s="225"/>
      <c r="F75" s="352"/>
    </row>
    <row r="76" spans="1:6" s="6" customFormat="1" ht="15">
      <c r="A76" s="226"/>
      <c r="B76" s="227"/>
      <c r="C76" s="227"/>
      <c r="D76" s="227"/>
      <c r="E76" s="227"/>
      <c r="F76" s="228"/>
    </row>
    <row r="77" spans="1:6" s="6" customFormat="1" ht="15">
      <c r="A77" s="52" t="s">
        <v>67</v>
      </c>
      <c r="B77" s="225" t="s">
        <v>68</v>
      </c>
      <c r="C77" s="225"/>
      <c r="D77" s="225"/>
      <c r="E77" s="225"/>
      <c r="F77" s="352"/>
    </row>
    <row r="78" spans="1:6" s="6" customFormat="1" ht="15">
      <c r="A78" s="216"/>
      <c r="B78" s="217"/>
      <c r="C78" s="217"/>
      <c r="D78" s="217"/>
      <c r="E78" s="217"/>
      <c r="F78" s="218"/>
    </row>
    <row r="79" spans="1:6" s="6" customFormat="1" ht="15">
      <c r="A79" s="222" t="s">
        <v>26</v>
      </c>
      <c r="B79" s="223"/>
      <c r="C79" s="223"/>
      <c r="D79" s="223"/>
      <c r="E79" s="223"/>
      <c r="F79" s="224"/>
    </row>
    <row r="80" spans="1:6" s="6" customFormat="1" ht="15">
      <c r="A80" s="216"/>
      <c r="B80" s="217"/>
      <c r="C80" s="217"/>
      <c r="D80" s="217"/>
      <c r="E80" s="217"/>
      <c r="F80" s="218"/>
    </row>
    <row r="81" spans="1:6" s="6" customFormat="1" ht="15">
      <c r="A81" s="52" t="s">
        <v>69</v>
      </c>
      <c r="B81" s="225" t="s">
        <v>70</v>
      </c>
      <c r="C81" s="225"/>
      <c r="D81" s="225"/>
      <c r="E81" s="225"/>
      <c r="F81" s="352"/>
    </row>
    <row r="82" spans="1:6" s="6" customFormat="1" ht="15">
      <c r="A82" s="363"/>
      <c r="B82" s="225"/>
      <c r="C82" s="225"/>
      <c r="D82" s="225"/>
      <c r="E82" s="225"/>
      <c r="F82" s="352"/>
    </row>
    <row r="83" spans="1:6" s="6" customFormat="1" ht="15">
      <c r="A83" s="52" t="s">
        <v>71</v>
      </c>
      <c r="B83" s="357" t="s">
        <v>72</v>
      </c>
      <c r="C83" s="219"/>
      <c r="D83" s="219"/>
      <c r="E83" s="219"/>
      <c r="F83" s="358"/>
    </row>
    <row r="84" spans="1:6" s="6" customFormat="1" ht="15">
      <c r="A84" s="216"/>
      <c r="B84" s="217"/>
      <c r="C84" s="217"/>
      <c r="D84" s="217"/>
      <c r="E84" s="217"/>
      <c r="F84" s="218"/>
    </row>
    <row r="85" spans="1:6" s="6" customFormat="1" ht="15">
      <c r="A85" s="52" t="s">
        <v>73</v>
      </c>
      <c r="B85" s="360" t="s">
        <v>74</v>
      </c>
      <c r="C85" s="225"/>
      <c r="D85" s="225"/>
      <c r="E85" s="225"/>
      <c r="F85" s="352"/>
    </row>
    <row r="86" spans="1:6" s="6" customFormat="1" ht="15">
      <c r="A86" s="216"/>
      <c r="B86" s="217"/>
      <c r="C86" s="217"/>
      <c r="D86" s="217"/>
      <c r="E86" s="217"/>
      <c r="F86" s="218"/>
    </row>
    <row r="87" spans="1:6" s="6" customFormat="1" ht="15">
      <c r="A87" s="52" t="s">
        <v>75</v>
      </c>
      <c r="B87" s="357" t="s">
        <v>76</v>
      </c>
      <c r="C87" s="219"/>
      <c r="D87" s="219"/>
      <c r="E87" s="219"/>
      <c r="F87" s="358"/>
    </row>
    <row r="88" spans="1:6" s="6" customFormat="1" ht="15">
      <c r="A88" s="216"/>
      <c r="B88" s="217"/>
      <c r="C88" s="217"/>
      <c r="D88" s="217"/>
      <c r="E88" s="217"/>
      <c r="F88" s="218"/>
    </row>
    <row r="89" spans="1:6" s="6" customFormat="1" ht="15">
      <c r="A89" s="52" t="s">
        <v>77</v>
      </c>
      <c r="B89" s="219" t="s">
        <v>78</v>
      </c>
      <c r="C89" s="225"/>
      <c r="D89" s="225"/>
      <c r="E89" s="225"/>
      <c r="F89" s="352"/>
    </row>
    <row r="90" spans="1:6" s="6" customFormat="1" ht="15">
      <c r="A90" s="216"/>
      <c r="B90" s="217"/>
      <c r="C90" s="217"/>
      <c r="D90" s="217"/>
      <c r="E90" s="217"/>
      <c r="F90" s="218"/>
    </row>
    <row r="91" spans="1:6" s="6" customFormat="1" ht="15">
      <c r="A91" s="52" t="s">
        <v>79</v>
      </c>
      <c r="B91" s="219" t="s">
        <v>80</v>
      </c>
      <c r="C91" s="225"/>
      <c r="D91" s="225"/>
      <c r="E91" s="225"/>
      <c r="F91" s="352"/>
    </row>
    <row r="92" spans="1:6" s="6" customFormat="1" ht="15">
      <c r="A92" s="53"/>
      <c r="B92" s="220" t="s">
        <v>81</v>
      </c>
      <c r="C92" s="220"/>
      <c r="D92" s="220"/>
      <c r="E92" s="220"/>
      <c r="F92" s="221"/>
    </row>
    <row r="93" spans="1:6" s="6" customFormat="1" ht="15">
      <c r="A93" s="42"/>
      <c r="B93" s="220" t="s">
        <v>82</v>
      </c>
      <c r="C93" s="220"/>
      <c r="D93" s="220"/>
      <c r="E93" s="220"/>
      <c r="F93" s="221"/>
    </row>
    <row r="94" spans="1:6" s="6" customFormat="1" ht="15">
      <c r="A94" s="53"/>
      <c r="B94" s="220" t="s">
        <v>83</v>
      </c>
      <c r="C94" s="220"/>
      <c r="D94" s="220"/>
      <c r="E94" s="220"/>
      <c r="F94" s="221"/>
    </row>
    <row r="95" spans="1:6" s="6" customFormat="1" ht="15">
      <c r="A95" s="216"/>
      <c r="B95" s="217"/>
      <c r="C95" s="217"/>
      <c r="D95" s="217"/>
      <c r="E95" s="217"/>
      <c r="F95" s="218"/>
    </row>
    <row r="96" spans="1:6" s="6" customFormat="1" ht="15">
      <c r="A96" s="44" t="s">
        <v>84</v>
      </c>
      <c r="B96" s="225" t="s">
        <v>85</v>
      </c>
      <c r="C96" s="225"/>
      <c r="D96" s="225"/>
      <c r="E96" s="225"/>
      <c r="F96" s="352"/>
    </row>
    <row r="97" spans="1:6" s="6" customFormat="1" ht="15">
      <c r="A97" s="216"/>
      <c r="B97" s="217"/>
      <c r="C97" s="217"/>
      <c r="D97" s="217"/>
      <c r="E97" s="217"/>
      <c r="F97" s="218"/>
    </row>
    <row r="98" spans="1:6" s="6" customFormat="1" ht="15">
      <c r="A98" s="52" t="s">
        <v>86</v>
      </c>
      <c r="B98" s="219" t="s">
        <v>87</v>
      </c>
      <c r="C98" s="364"/>
      <c r="D98" s="364"/>
      <c r="E98" s="364"/>
      <c r="F98" s="365"/>
    </row>
    <row r="99" spans="1:6" s="6" customFormat="1" ht="15">
      <c r="A99" s="363"/>
      <c r="B99" s="225" t="s">
        <v>88</v>
      </c>
      <c r="C99" s="219"/>
      <c r="D99" s="219"/>
      <c r="E99" s="219"/>
      <c r="F99" s="358"/>
    </row>
    <row r="100" spans="1:6" s="6" customFormat="1" ht="15">
      <c r="A100" s="363"/>
      <c r="B100" s="225" t="s">
        <v>89</v>
      </c>
      <c r="C100" s="219"/>
      <c r="D100" s="219"/>
      <c r="E100" s="219"/>
      <c r="F100" s="358"/>
    </row>
    <row r="101" spans="1:6" s="6" customFormat="1" ht="15">
      <c r="A101" s="363"/>
      <c r="B101" s="225" t="s">
        <v>90</v>
      </c>
      <c r="C101" s="219"/>
      <c r="D101" s="219"/>
      <c r="E101" s="219"/>
      <c r="F101" s="358"/>
    </row>
    <row r="102" spans="1:6" s="6" customFormat="1" ht="15">
      <c r="A102" s="363"/>
      <c r="B102" s="364" t="s">
        <v>91</v>
      </c>
      <c r="C102" s="364"/>
      <c r="D102" s="364"/>
      <c r="E102" s="364"/>
      <c r="F102" s="365"/>
    </row>
    <row r="103" spans="1:6" s="6" customFormat="1" ht="15">
      <c r="A103" s="363"/>
      <c r="B103" s="219" t="s">
        <v>92</v>
      </c>
      <c r="C103" s="364"/>
      <c r="D103" s="364"/>
      <c r="E103" s="364"/>
      <c r="F103" s="365"/>
    </row>
    <row r="104" spans="1:6" s="6" customFormat="1" ht="15">
      <c r="A104" s="23"/>
      <c r="B104" s="219" t="s">
        <v>93</v>
      </c>
      <c r="C104" s="364"/>
      <c r="D104" s="364"/>
      <c r="E104" s="364"/>
      <c r="F104" s="365"/>
    </row>
    <row r="105" spans="1:6" s="6" customFormat="1" ht="15">
      <c r="A105" s="23"/>
      <c r="B105" s="219" t="s">
        <v>94</v>
      </c>
      <c r="C105" s="364"/>
      <c r="D105" s="364"/>
      <c r="E105" s="364"/>
      <c r="F105" s="365"/>
    </row>
    <row r="106" spans="1:6" s="6" customFormat="1" ht="15">
      <c r="A106" s="366"/>
      <c r="B106" s="367"/>
      <c r="C106" s="367"/>
      <c r="D106" s="367"/>
      <c r="E106" s="367"/>
      <c r="F106" s="368"/>
    </row>
  </sheetData>
  <mergeCells count="143">
    <mergeCell ref="BC47:BH47"/>
    <mergeCell ref="B64:F64"/>
    <mergeCell ref="IS47:IV47"/>
    <mergeCell ref="A54:F54"/>
    <mergeCell ref="HU47:HZ47"/>
    <mergeCell ref="IA47:IF47"/>
    <mergeCell ref="IG47:IL47"/>
    <mergeCell ref="IM47:IR47"/>
    <mergeCell ref="GW47:HB47"/>
    <mergeCell ref="CM47:CR47"/>
    <mergeCell ref="CS47:CX47"/>
    <mergeCell ref="CY47:DD47"/>
    <mergeCell ref="DE47:DJ47"/>
    <mergeCell ref="DK47:DP47"/>
    <mergeCell ref="DW47:EB47"/>
    <mergeCell ref="EC47:EH47"/>
    <mergeCell ref="EI47:EN47"/>
    <mergeCell ref="EO47:ET47"/>
    <mergeCell ref="EU47:EZ47"/>
    <mergeCell ref="FA47:FF47"/>
    <mergeCell ref="FG47:FL47"/>
    <mergeCell ref="B48:F49"/>
    <mergeCell ref="B50:F51"/>
    <mergeCell ref="B52:F53"/>
    <mergeCell ref="B69:F69"/>
    <mergeCell ref="HC47:HH47"/>
    <mergeCell ref="FS47:FX47"/>
    <mergeCell ref="HI47:HN47"/>
    <mergeCell ref="HO47:HT47"/>
    <mergeCell ref="FY47:GD47"/>
    <mergeCell ref="GE47:GJ47"/>
    <mergeCell ref="GK47:GP47"/>
    <mergeCell ref="GQ47:GV47"/>
    <mergeCell ref="A68:F68"/>
    <mergeCell ref="DQ47:DV47"/>
    <mergeCell ref="Y47:AD47"/>
    <mergeCell ref="AE47:AJ47"/>
    <mergeCell ref="AK47:AP47"/>
    <mergeCell ref="AQ47:AV47"/>
    <mergeCell ref="AW47:BB47"/>
    <mergeCell ref="BI47:BN47"/>
    <mergeCell ref="S47:X47"/>
    <mergeCell ref="M47:R47"/>
    <mergeCell ref="FM47:FR47"/>
    <mergeCell ref="BO47:BT47"/>
    <mergeCell ref="BU47:BZ47"/>
    <mergeCell ref="CA47:CF47"/>
    <mergeCell ref="CG47:CL47"/>
    <mergeCell ref="A45:F45"/>
    <mergeCell ref="B34:F34"/>
    <mergeCell ref="G47:L47"/>
    <mergeCell ref="B73:F73"/>
    <mergeCell ref="A74:F74"/>
    <mergeCell ref="B71:F71"/>
    <mergeCell ref="A72:F72"/>
    <mergeCell ref="A70:F70"/>
    <mergeCell ref="B67:F67"/>
    <mergeCell ref="B56:F56"/>
    <mergeCell ref="A57:F57"/>
    <mergeCell ref="B66:F66"/>
    <mergeCell ref="B58:F58"/>
    <mergeCell ref="A59:F59"/>
    <mergeCell ref="A60:F60"/>
    <mergeCell ref="A61:F61"/>
    <mergeCell ref="B55:F55"/>
    <mergeCell ref="B65:F65"/>
    <mergeCell ref="B62:F62"/>
    <mergeCell ref="A63:F63"/>
    <mergeCell ref="B46:F46"/>
    <mergeCell ref="A47:F47"/>
    <mergeCell ref="B44:F44"/>
    <mergeCell ref="A41:F41"/>
    <mergeCell ref="B35:F35"/>
    <mergeCell ref="A1:E1"/>
    <mergeCell ref="B9:F9"/>
    <mergeCell ref="A12:F12"/>
    <mergeCell ref="A8:F8"/>
    <mergeCell ref="A2:F2"/>
    <mergeCell ref="B5:F5"/>
    <mergeCell ref="A4:F4"/>
    <mergeCell ref="A3:F3"/>
    <mergeCell ref="B7:F7"/>
    <mergeCell ref="A6:F6"/>
    <mergeCell ref="A10:F10"/>
    <mergeCell ref="B13:F13"/>
    <mergeCell ref="B11:F11"/>
    <mergeCell ref="B25:F27"/>
    <mergeCell ref="A42:F42"/>
    <mergeCell ref="B38:F38"/>
    <mergeCell ref="B39:F39"/>
    <mergeCell ref="B37:F37"/>
    <mergeCell ref="B14:F14"/>
    <mergeCell ref="A43:F43"/>
    <mergeCell ref="A15:F15"/>
    <mergeCell ref="A16:F16"/>
    <mergeCell ref="A32:F32"/>
    <mergeCell ref="B40:F40"/>
    <mergeCell ref="A19:F19"/>
    <mergeCell ref="B23:F23"/>
    <mergeCell ref="B18:F18"/>
    <mergeCell ref="B22:F22"/>
    <mergeCell ref="A21:F21"/>
    <mergeCell ref="A24:F24"/>
    <mergeCell ref="A17:F17"/>
    <mergeCell ref="A36:F36"/>
    <mergeCell ref="B29:F29"/>
    <mergeCell ref="B30:F30"/>
    <mergeCell ref="A31:F31"/>
    <mergeCell ref="B20:F20"/>
    <mergeCell ref="A28:F28"/>
    <mergeCell ref="A33:F33"/>
    <mergeCell ref="B75:F75"/>
    <mergeCell ref="A78:F78"/>
    <mergeCell ref="A79:F79"/>
    <mergeCell ref="A80:F80"/>
    <mergeCell ref="B81:F81"/>
    <mergeCell ref="B87:F87"/>
    <mergeCell ref="A88:F88"/>
    <mergeCell ref="B98:F98"/>
    <mergeCell ref="B91:F91"/>
    <mergeCell ref="B89:F89"/>
    <mergeCell ref="A90:F90"/>
    <mergeCell ref="B96:F96"/>
    <mergeCell ref="A95:F95"/>
    <mergeCell ref="A97:F97"/>
    <mergeCell ref="B85:F85"/>
    <mergeCell ref="A76:F76"/>
    <mergeCell ref="B77:F77"/>
    <mergeCell ref="A86:F86"/>
    <mergeCell ref="A106:F106"/>
    <mergeCell ref="B83:F83"/>
    <mergeCell ref="A84:F84"/>
    <mergeCell ref="B82:F82"/>
    <mergeCell ref="B104:F104"/>
    <mergeCell ref="B99:F99"/>
    <mergeCell ref="B100:F100"/>
    <mergeCell ref="B101:F101"/>
    <mergeCell ref="B105:F105"/>
    <mergeCell ref="B103:F103"/>
    <mergeCell ref="B102:F102"/>
    <mergeCell ref="B93:F93"/>
    <mergeCell ref="B92:F92"/>
    <mergeCell ref="B94:F94"/>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58"/>
  <sheetViews>
    <sheetView showGridLines="0" tabSelected="1" zoomScale="90" zoomScaleNormal="90" workbookViewId="0">
      <selection activeCell="B31" sqref="B31"/>
    </sheetView>
  </sheetViews>
  <sheetFormatPr defaultColWidth="0" defaultRowHeight="13.15" zeroHeight="1"/>
  <cols>
    <col min="1" max="1" width="25.42578125" style="4" customWidth="1"/>
    <col min="2" max="4" width="15.42578125" style="4" customWidth="1"/>
    <col min="5" max="9" width="18.5703125" style="4" customWidth="1"/>
    <col min="10" max="10" width="21.140625" style="4" customWidth="1"/>
    <col min="11" max="11" width="0.85546875" style="4" customWidth="1"/>
    <col min="12" max="16384" width="9.140625" style="4" hidden="1"/>
  </cols>
  <sheetData>
    <row r="1" spans="1:10" ht="30" customHeight="1">
      <c r="A1" s="258"/>
      <c r="B1" s="76"/>
      <c r="C1" s="251" t="s">
        <v>95</v>
      </c>
      <c r="D1" s="251"/>
      <c r="E1" s="251"/>
      <c r="F1" s="251"/>
      <c r="G1" s="251"/>
      <c r="H1" s="251"/>
      <c r="I1" s="256"/>
      <c r="J1" s="249" t="s">
        <v>96</v>
      </c>
    </row>
    <row r="2" spans="1:10" ht="30" customHeight="1">
      <c r="A2" s="259"/>
      <c r="B2" s="77"/>
      <c r="C2" s="252" t="s">
        <v>97</v>
      </c>
      <c r="D2" s="252"/>
      <c r="E2" s="252"/>
      <c r="F2" s="252"/>
      <c r="G2" s="252"/>
      <c r="H2" s="252"/>
      <c r="I2" s="257"/>
      <c r="J2" s="250"/>
    </row>
    <row r="3" spans="1:10" ht="3.95" customHeight="1">
      <c r="A3" s="369"/>
      <c r="B3" s="370"/>
      <c r="C3" s="370"/>
      <c r="D3" s="370"/>
      <c r="E3" s="370"/>
      <c r="F3" s="370"/>
      <c r="G3" s="370"/>
      <c r="H3" s="370"/>
      <c r="I3" s="371"/>
    </row>
    <row r="4" spans="1:10">
      <c r="A4" s="73" t="s">
        <v>13</v>
      </c>
      <c r="B4" s="253"/>
      <c r="C4" s="254"/>
      <c r="D4" s="254"/>
      <c r="E4" s="254"/>
      <c r="F4" s="255"/>
      <c r="G4" s="96"/>
      <c r="H4" s="96"/>
      <c r="I4" s="372">
        <f ca="1">NOW()</f>
        <v>45712.409190393519</v>
      </c>
      <c r="J4" s="373"/>
    </row>
    <row r="5" spans="1:10" ht="3.95" customHeight="1">
      <c r="A5" s="374"/>
      <c r="B5" s="370"/>
      <c r="C5" s="370"/>
      <c r="D5" s="370"/>
      <c r="E5" s="370"/>
      <c r="F5" s="370"/>
      <c r="G5" s="370"/>
      <c r="H5" s="370"/>
      <c r="I5" s="371"/>
    </row>
    <row r="6" spans="1:10">
      <c r="A6" s="73" t="s">
        <v>15</v>
      </c>
      <c r="B6" s="248"/>
      <c r="C6" s="248"/>
      <c r="D6" s="131"/>
      <c r="E6" s="169"/>
      <c r="F6" s="127"/>
      <c r="G6" s="132"/>
      <c r="H6" s="132"/>
      <c r="I6" s="375"/>
      <c r="J6" s="373"/>
    </row>
    <row r="7" spans="1:10">
      <c r="A7" s="73" t="s">
        <v>17</v>
      </c>
      <c r="B7" s="376"/>
      <c r="C7" s="377"/>
      <c r="D7" s="94"/>
      <c r="E7" s="170"/>
      <c r="F7" s="125"/>
      <c r="G7" s="125"/>
      <c r="H7" s="125"/>
      <c r="I7" s="126"/>
    </row>
    <row r="8" spans="1:10" ht="12.95" customHeight="1">
      <c r="A8" s="73" t="s">
        <v>19</v>
      </c>
      <c r="B8" s="376"/>
      <c r="C8" s="377"/>
      <c r="D8" s="94"/>
      <c r="E8" s="291" t="s">
        <v>98</v>
      </c>
      <c r="F8" s="291"/>
      <c r="G8" s="291"/>
      <c r="H8" s="291"/>
      <c r="I8" s="133"/>
    </row>
    <row r="9" spans="1:10" ht="12.95" customHeight="1">
      <c r="A9" s="47" t="s">
        <v>99</v>
      </c>
      <c r="B9" s="376"/>
      <c r="C9" s="377"/>
      <c r="D9" s="195" t="s">
        <v>100</v>
      </c>
      <c r="E9" s="170"/>
      <c r="F9" s="147"/>
      <c r="G9" s="147"/>
      <c r="H9" s="147"/>
      <c r="I9" s="133"/>
    </row>
    <row r="10" spans="1:10" ht="12.95" customHeight="1">
      <c r="A10" s="73" t="s">
        <v>101</v>
      </c>
      <c r="B10" s="378">
        <f>SUM(B7:C8)</f>
        <v>0</v>
      </c>
      <c r="C10" s="379"/>
      <c r="D10" s="94"/>
      <c r="E10" s="291" t="s">
        <v>102</v>
      </c>
      <c r="F10" s="291"/>
      <c r="G10" s="291"/>
      <c r="H10" s="291"/>
      <c r="I10" s="133"/>
    </row>
    <row r="11" spans="1:10">
      <c r="A11" s="73" t="s">
        <v>103</v>
      </c>
      <c r="B11" s="380"/>
      <c r="C11" s="381"/>
      <c r="D11" s="94"/>
      <c r="E11" s="170"/>
      <c r="F11" s="125"/>
      <c r="G11" s="125"/>
      <c r="H11" s="125"/>
      <c r="I11" s="126"/>
    </row>
    <row r="12" spans="1:10">
      <c r="A12" s="47" t="s">
        <v>23</v>
      </c>
      <c r="B12" s="382"/>
      <c r="C12" s="383"/>
      <c r="D12" s="94"/>
      <c r="E12" s="170"/>
      <c r="F12" s="125"/>
      <c r="G12" s="125"/>
      <c r="H12" s="125"/>
      <c r="I12" s="126"/>
    </row>
    <row r="13" spans="1:10">
      <c r="A13" s="73" t="s">
        <v>104</v>
      </c>
      <c r="B13" s="384">
        <f>B12/12</f>
        <v>0</v>
      </c>
      <c r="C13" s="385"/>
      <c r="D13" s="97"/>
      <c r="E13" s="171"/>
      <c r="F13" s="125"/>
      <c r="G13" s="125"/>
      <c r="H13" s="125"/>
      <c r="I13" s="126"/>
      <c r="J13" s="80"/>
    </row>
    <row r="14" spans="1:10">
      <c r="A14" s="73" t="s">
        <v>105</v>
      </c>
      <c r="B14" s="378">
        <f>Proposed_Loan_Monthly_Payment+Credit_Card_Monthly_Payment</f>
        <v>0</v>
      </c>
      <c r="C14" s="379"/>
      <c r="D14" s="95"/>
      <c r="E14" s="172"/>
      <c r="F14" s="128"/>
      <c r="G14" s="128"/>
      <c r="H14" s="128"/>
      <c r="I14" s="129"/>
      <c r="J14" s="80"/>
    </row>
    <row r="15" spans="1:10" ht="3.95" customHeight="1">
      <c r="A15" s="364"/>
      <c r="B15" s="364"/>
      <c r="C15" s="364"/>
      <c r="D15" s="364"/>
      <c r="E15" s="364"/>
      <c r="F15" s="364"/>
      <c r="G15" s="364"/>
      <c r="H15" s="364"/>
      <c r="I15" s="364"/>
      <c r="J15" s="30"/>
    </row>
    <row r="16" spans="1:10">
      <c r="A16" s="283" t="s">
        <v>106</v>
      </c>
      <c r="B16" s="284"/>
      <c r="C16" s="284"/>
      <c r="D16" s="284"/>
      <c r="E16" s="284"/>
      <c r="F16" s="284"/>
      <c r="G16" s="284"/>
      <c r="H16" s="284"/>
      <c r="I16" s="285"/>
      <c r="J16" s="81"/>
    </row>
    <row r="17" spans="1:11">
      <c r="A17" s="283" t="s">
        <v>107</v>
      </c>
      <c r="B17" s="284"/>
      <c r="C17" s="284"/>
      <c r="D17" s="284"/>
      <c r="E17" s="284"/>
      <c r="F17" s="87"/>
      <c r="G17" s="74" t="s">
        <v>108</v>
      </c>
      <c r="H17" s="281" t="s">
        <v>109</v>
      </c>
      <c r="I17" s="224"/>
      <c r="J17" s="72"/>
    </row>
    <row r="18" spans="1:11" ht="12.95" customHeight="1">
      <c r="A18" s="261" t="s">
        <v>110</v>
      </c>
      <c r="B18" s="262"/>
      <c r="C18" s="262"/>
      <c r="D18" s="262"/>
      <c r="E18" s="262"/>
      <c r="F18" s="87"/>
      <c r="G18" s="32">
        <v>0</v>
      </c>
      <c r="H18" s="32">
        <v>0</v>
      </c>
      <c r="I18" s="289" t="str">
        <f>+"Credit Card payments are based on"</f>
        <v>Credit Card payments are based on</v>
      </c>
      <c r="J18" s="80"/>
    </row>
    <row r="19" spans="1:11" ht="12.95" customHeight="1">
      <c r="A19" s="386" t="s">
        <v>111</v>
      </c>
      <c r="B19" s="387"/>
      <c r="C19" s="387"/>
      <c r="D19" s="387"/>
      <c r="E19" s="387"/>
      <c r="F19" s="87"/>
      <c r="G19" s="32">
        <v>0</v>
      </c>
      <c r="H19" s="32">
        <v>0</v>
      </c>
      <c r="I19" s="290"/>
      <c r="J19" s="80"/>
    </row>
    <row r="20" spans="1:11" ht="12.75" customHeight="1">
      <c r="A20" s="292" t="s">
        <v>40</v>
      </c>
      <c r="B20" s="293"/>
      <c r="C20" s="293"/>
      <c r="D20" s="293"/>
      <c r="E20" s="287"/>
      <c r="F20" s="288"/>
      <c r="G20" s="32">
        <v>0</v>
      </c>
      <c r="H20" s="388">
        <f>G20*Credit_Card_Monthly_Payment_Percent</f>
        <v>0</v>
      </c>
      <c r="I20" s="193" t="str">
        <f>+TEXT(Credit_Card_Monthly_Payment_Percent,"##0.0%")</f>
        <v>3.2%</v>
      </c>
      <c r="J20" s="80"/>
    </row>
    <row r="21" spans="1:11">
      <c r="A21" s="286" t="s">
        <v>42</v>
      </c>
      <c r="B21" s="287"/>
      <c r="C21" s="287"/>
      <c r="D21" s="287"/>
      <c r="E21" s="287"/>
      <c r="F21" s="288"/>
      <c r="G21" s="32">
        <v>0</v>
      </c>
      <c r="H21" s="388">
        <f>G21*Credit_Card_Monthly_Payment_Percent_Amigo</f>
        <v>0</v>
      </c>
      <c r="I21" s="193" t="str">
        <f>+TEXT(Credit_Card_Monthly_Payment_Percent_Amigo,"##0.0%")</f>
        <v>3.5%</v>
      </c>
      <c r="J21" s="80"/>
    </row>
    <row r="22" spans="1:11">
      <c r="A22" s="286" t="s">
        <v>44</v>
      </c>
      <c r="B22" s="287"/>
      <c r="C22" s="287"/>
      <c r="D22" s="287"/>
      <c r="E22" s="287"/>
      <c r="F22" s="288"/>
      <c r="G22" s="32">
        <v>0</v>
      </c>
      <c r="H22" s="388">
        <f>G22*Credit_Card_Monthly_Payment_Percent_OtherBanks</f>
        <v>0</v>
      </c>
      <c r="I22" s="193" t="str">
        <f>+TEXT(Credit_Card_Monthly_Payment_Percent_OtherBanks,"##0.00%")</f>
        <v>3.75%</v>
      </c>
      <c r="J22" s="80"/>
    </row>
    <row r="23" spans="1:11" ht="13.15" customHeight="1">
      <c r="A23" s="136" t="s">
        <v>112</v>
      </c>
      <c r="B23" s="209"/>
      <c r="C23" s="209"/>
      <c r="D23" s="209"/>
      <c r="E23" s="210"/>
      <c r="F23" s="211"/>
      <c r="G23" s="32">
        <v>0</v>
      </c>
      <c r="H23" s="388">
        <f>G23*Secured_Credit_Monthly_Percent</f>
        <v>0</v>
      </c>
      <c r="I23" s="193" t="str">
        <f>+"of Credit Limit per month"</f>
        <v>of Credit Limit per month</v>
      </c>
      <c r="J23" s="80"/>
    </row>
    <row r="24" spans="1:11">
      <c r="A24" s="212" t="s">
        <v>113</v>
      </c>
      <c r="B24" s="210"/>
      <c r="C24" s="210"/>
      <c r="D24" s="211"/>
      <c r="E24" s="282">
        <v>5</v>
      </c>
      <c r="F24" s="389"/>
      <c r="G24" s="32">
        <v>0</v>
      </c>
      <c r="H24" s="32">
        <v>0</v>
      </c>
      <c r="I24" s="193"/>
      <c r="J24" s="80"/>
    </row>
    <row r="25" spans="1:11">
      <c r="A25" s="146" t="s">
        <v>114</v>
      </c>
      <c r="B25" s="210"/>
      <c r="C25" s="210"/>
      <c r="D25" s="211"/>
      <c r="E25" s="282"/>
      <c r="F25" s="389"/>
      <c r="G25" s="74"/>
      <c r="H25" s="32">
        <v>0</v>
      </c>
      <c r="I25" s="186"/>
      <c r="J25" s="80"/>
    </row>
    <row r="26" spans="1:11">
      <c r="A26" s="390" t="s">
        <v>49</v>
      </c>
      <c r="B26" s="391"/>
      <c r="C26" s="391"/>
      <c r="D26" s="391"/>
      <c r="E26" s="287"/>
      <c r="F26" s="288"/>
      <c r="G26" s="388">
        <f>SUM(G18:G24)</f>
        <v>0</v>
      </c>
      <c r="H26" s="388">
        <f>SUM(H18:H25)</f>
        <v>0</v>
      </c>
      <c r="I26" s="187"/>
      <c r="J26" s="80"/>
    </row>
    <row r="27" spans="1:11" ht="3.95" customHeight="1">
      <c r="A27" s="392"/>
      <c r="B27" s="392"/>
      <c r="C27" s="392"/>
      <c r="D27" s="392"/>
      <c r="E27" s="392"/>
      <c r="F27" s="392"/>
      <c r="G27" s="392"/>
      <c r="H27" s="392"/>
      <c r="I27" s="393"/>
      <c r="J27" s="30"/>
    </row>
    <row r="28" spans="1:11" ht="39.6">
      <c r="A28" s="39" t="s">
        <v>115</v>
      </c>
      <c r="B28" s="82" t="s">
        <v>116</v>
      </c>
      <c r="C28" s="82" t="s">
        <v>117</v>
      </c>
      <c r="D28" s="82" t="s">
        <v>118</v>
      </c>
      <c r="E28" s="40" t="s">
        <v>119</v>
      </c>
      <c r="F28" s="40" t="s">
        <v>120</v>
      </c>
      <c r="G28" s="40" t="s">
        <v>121</v>
      </c>
      <c r="H28" s="40" t="s">
        <v>122</v>
      </c>
      <c r="I28" s="40" t="s">
        <v>123</v>
      </c>
      <c r="J28" s="82" t="s">
        <v>124</v>
      </c>
      <c r="K28" s="30"/>
    </row>
    <row r="29" spans="1:11">
      <c r="A29" s="353" t="s">
        <v>125</v>
      </c>
      <c r="B29" s="32">
        <v>0</v>
      </c>
      <c r="C29" s="124"/>
      <c r="D29" s="32">
        <v>0</v>
      </c>
      <c r="E29" s="388">
        <f>Applicant1_GAIncome</f>
        <v>0</v>
      </c>
      <c r="F29" s="32">
        <v>0</v>
      </c>
      <c r="G29" s="388">
        <f>CalculationsReference!B25</f>
        <v>0</v>
      </c>
      <c r="H29" s="388">
        <f>CalculationsReference!B41</f>
        <v>0</v>
      </c>
      <c r="I29" s="388">
        <f>CalculationsReference!B42</f>
        <v>0</v>
      </c>
      <c r="J29" s="388">
        <f>CalculationsReference!B$43</f>
        <v>0</v>
      </c>
    </row>
    <row r="30" spans="1:11">
      <c r="A30" s="353" t="s">
        <v>126</v>
      </c>
      <c r="B30" s="32">
        <v>0</v>
      </c>
      <c r="C30" s="124"/>
      <c r="D30" s="32">
        <v>0</v>
      </c>
      <c r="E30" s="388">
        <f>Applicant2_GAIncome</f>
        <v>0</v>
      </c>
      <c r="F30" s="32">
        <v>0</v>
      </c>
      <c r="G30" s="388">
        <f>CalculationsReference!C25</f>
        <v>0</v>
      </c>
      <c r="H30" s="388">
        <f>CalculationsReference!C41</f>
        <v>0</v>
      </c>
      <c r="I30" s="388">
        <f>CalculationsReference!C42</f>
        <v>0</v>
      </c>
      <c r="J30" s="388">
        <f>CalculationsReference!C$43</f>
        <v>0</v>
      </c>
    </row>
    <row r="31" spans="1:11">
      <c r="A31" s="353" t="s">
        <v>127</v>
      </c>
      <c r="B31" s="32">
        <v>0</v>
      </c>
      <c r="C31" s="394"/>
      <c r="D31" s="32">
        <v>0</v>
      </c>
      <c r="E31" s="388">
        <f>Applicant3_GAIncome</f>
        <v>0</v>
      </c>
      <c r="F31" s="32">
        <v>0</v>
      </c>
      <c r="G31" s="388">
        <f>CalculationsReference!D25</f>
        <v>0</v>
      </c>
      <c r="H31" s="388">
        <f>CalculationsReference!D41</f>
        <v>0</v>
      </c>
      <c r="I31" s="388">
        <f>CalculationsReference!D42</f>
        <v>0</v>
      </c>
      <c r="J31" s="388">
        <f>CalculationsReference!D$43</f>
        <v>0</v>
      </c>
    </row>
    <row r="32" spans="1:11">
      <c r="A32" s="353" t="s">
        <v>128</v>
      </c>
      <c r="B32" s="32">
        <v>0</v>
      </c>
      <c r="C32" s="394"/>
      <c r="D32" s="32">
        <v>0</v>
      </c>
      <c r="E32" s="388">
        <f>Applicant4_GAIncome</f>
        <v>0</v>
      </c>
      <c r="F32" s="32">
        <v>0</v>
      </c>
      <c r="G32" s="388">
        <f>CalculationsReference!E25</f>
        <v>0</v>
      </c>
      <c r="H32" s="388">
        <f>CalculationsReference!E41</f>
        <v>0</v>
      </c>
      <c r="I32" s="388">
        <f>CalculationsReference!E42</f>
        <v>0</v>
      </c>
      <c r="J32" s="388">
        <f>CalculationsReference!E$43</f>
        <v>0</v>
      </c>
    </row>
    <row r="33" spans="1:10">
      <c r="A33" s="353" t="s">
        <v>129</v>
      </c>
      <c r="B33" s="32">
        <v>0</v>
      </c>
      <c r="C33" s="124"/>
      <c r="D33" s="32">
        <v>0</v>
      </c>
      <c r="E33" s="388">
        <f>Applicant5_GAIncome</f>
        <v>0</v>
      </c>
      <c r="F33" s="32">
        <v>0</v>
      </c>
      <c r="G33" s="388">
        <f>CalculationsReference!F25</f>
        <v>0</v>
      </c>
      <c r="H33" s="388">
        <f>CalculationsReference!F41</f>
        <v>0</v>
      </c>
      <c r="I33" s="388">
        <f>CalculationsReference!F42</f>
        <v>0</v>
      </c>
      <c r="J33" s="388">
        <f>CalculationsReference!F$43</f>
        <v>0</v>
      </c>
    </row>
    <row r="34" spans="1:10">
      <c r="A34" s="353" t="s">
        <v>130</v>
      </c>
      <c r="B34" s="32">
        <v>0</v>
      </c>
      <c r="C34" s="394"/>
      <c r="D34" s="32">
        <v>0</v>
      </c>
      <c r="E34" s="388">
        <f>Applicant6_GAIncome</f>
        <v>0</v>
      </c>
      <c r="F34" s="32">
        <v>0</v>
      </c>
      <c r="G34" s="388">
        <f>CalculationsReference!G25</f>
        <v>0</v>
      </c>
      <c r="H34" s="388">
        <f>CalculationsReference!G41</f>
        <v>0</v>
      </c>
      <c r="I34" s="388">
        <f>CalculationsReference!G42</f>
        <v>0</v>
      </c>
      <c r="J34" s="388">
        <f>CalculationsReference!G$43</f>
        <v>0</v>
      </c>
    </row>
    <row r="35" spans="1:10" ht="39.6">
      <c r="A35" s="85" t="s">
        <v>131</v>
      </c>
      <c r="B35" s="395">
        <v>0</v>
      </c>
      <c r="C35" s="93" t="str">
        <f>CalculationsReference!H4</f>
        <v>Fortnightly</v>
      </c>
      <c r="D35" s="213"/>
      <c r="E35" s="213"/>
      <c r="F35" s="213"/>
      <c r="G35" s="213"/>
      <c r="H35" s="213"/>
      <c r="I35" s="396">
        <f>Family_Payments_Amount*26</f>
        <v>0</v>
      </c>
      <c r="J35" s="396">
        <f>I35/12</f>
        <v>0</v>
      </c>
    </row>
    <row r="36" spans="1:10">
      <c r="A36" s="386" t="s">
        <v>132</v>
      </c>
      <c r="B36" s="387"/>
      <c r="C36" s="387"/>
      <c r="D36" s="397"/>
      <c r="E36" s="32">
        <v>0</v>
      </c>
      <c r="F36" s="398">
        <v>0</v>
      </c>
      <c r="G36" s="399">
        <f>CalculationsReference!H25</f>
        <v>0</v>
      </c>
      <c r="H36" s="400">
        <f>CalculationsReference!H39</f>
        <v>0</v>
      </c>
      <c r="I36" s="399">
        <f>CalculationsReference!H42</f>
        <v>0</v>
      </c>
      <c r="J36" s="399">
        <f>CalculationsReference!H$43</f>
        <v>0</v>
      </c>
    </row>
    <row r="37" spans="1:10">
      <c r="A37" s="386" t="s">
        <v>133</v>
      </c>
      <c r="B37" s="387"/>
      <c r="C37" s="387"/>
      <c r="D37" s="397"/>
      <c r="E37" s="401">
        <v>0</v>
      </c>
      <c r="F37" s="83"/>
      <c r="G37" s="84"/>
      <c r="H37" s="84"/>
      <c r="I37" s="84"/>
      <c r="J37" s="75"/>
    </row>
    <row r="38" spans="1:10">
      <c r="A38" s="386" t="s">
        <v>134</v>
      </c>
      <c r="B38" s="387"/>
      <c r="C38" s="387"/>
      <c r="D38" s="397"/>
      <c r="E38" s="399">
        <f>IF(Company_NPBT_GAIncomePY=0,Company_NPBT_GAIncomeMRY,IF((Company_NPBT_GAIncomeMRY/Company_NPBT_GAIncomePY)&lt;=1.2,Company_NPBT_GAIncomeMRY,Company_NPBT_GAIncomePY*1.2))</f>
        <v>0</v>
      </c>
      <c r="F38" s="402" t="str">
        <f>IF(Error_Count&gt;0,VLOOKUP(1,Error_Table,2,FALSE),"")</f>
        <v/>
      </c>
      <c r="G38" s="402"/>
      <c r="H38" s="402"/>
      <c r="I38" s="402"/>
      <c r="J38" s="403"/>
    </row>
    <row r="39" spans="1:10">
      <c r="A39" s="145" t="s">
        <v>135</v>
      </c>
      <c r="B39" s="213"/>
      <c r="C39" s="213"/>
      <c r="D39" s="213"/>
      <c r="E39" s="213"/>
      <c r="F39" s="213"/>
      <c r="G39" s="213"/>
      <c r="H39" s="213"/>
      <c r="I39" s="32">
        <v>0</v>
      </c>
      <c r="J39" s="92"/>
    </row>
    <row r="40" spans="1:10">
      <c r="A40" s="286" t="s">
        <v>136</v>
      </c>
      <c r="B40" s="287"/>
      <c r="C40" s="287"/>
      <c r="D40" s="288"/>
      <c r="E40" s="404">
        <f>SUM(E29:E34,E38,I35)</f>
        <v>0</v>
      </c>
      <c r="F40" s="388">
        <f>SUM(F29:F36)</f>
        <v>0</v>
      </c>
      <c r="G40" s="388">
        <f>SUM(G29:G36,I35)</f>
        <v>0</v>
      </c>
      <c r="H40" s="388">
        <f>SUM(H29:H36)</f>
        <v>0</v>
      </c>
      <c r="I40" s="388">
        <f>SUM(I29:I39)</f>
        <v>0</v>
      </c>
      <c r="J40" s="388">
        <f>I40/12</f>
        <v>0</v>
      </c>
    </row>
    <row r="41" spans="1:10" ht="3.95" customHeight="1">
      <c r="E41" s="50"/>
      <c r="F41" s="50"/>
      <c r="G41" s="50"/>
      <c r="H41" s="50"/>
      <c r="I41" s="50"/>
    </row>
    <row r="42" spans="1:10">
      <c r="A42" s="405" t="s">
        <v>137</v>
      </c>
      <c r="B42" s="406"/>
      <c r="C42" s="406"/>
      <c r="D42" s="407"/>
      <c r="E42" s="88" t="s">
        <v>138</v>
      </c>
      <c r="F42" s="89"/>
      <c r="G42" s="90"/>
      <c r="H42" s="90"/>
      <c r="I42" s="91"/>
      <c r="J42" s="87" t="s">
        <v>139</v>
      </c>
    </row>
    <row r="43" spans="1:10">
      <c r="A43" s="386" t="s">
        <v>27</v>
      </c>
      <c r="B43" s="387"/>
      <c r="C43" s="387"/>
      <c r="D43" s="397"/>
      <c r="E43" s="408">
        <f>Calculated_Living_Expenses</f>
        <v>0</v>
      </c>
      <c r="F43" s="263"/>
      <c r="G43" s="264"/>
      <c r="H43" s="264"/>
      <c r="I43" s="265"/>
      <c r="J43" s="409">
        <f>E43/12</f>
        <v>0</v>
      </c>
    </row>
    <row r="44" spans="1:10">
      <c r="A44" s="386" t="s">
        <v>30</v>
      </c>
      <c r="B44" s="387"/>
      <c r="C44" s="387"/>
      <c r="D44" s="397"/>
      <c r="E44" s="401"/>
      <c r="F44" s="263"/>
      <c r="G44" s="264"/>
      <c r="H44" s="264"/>
      <c r="I44" s="265"/>
      <c r="J44" s="409">
        <f t="shared" ref="J44:J45" si="0">E44/12</f>
        <v>0</v>
      </c>
    </row>
    <row r="45" spans="1:10">
      <c r="A45" s="386" t="s">
        <v>140</v>
      </c>
      <c r="B45" s="387"/>
      <c r="C45" s="387"/>
      <c r="D45" s="397"/>
      <c r="E45" s="410">
        <f>MAX(Calculated_Living_Expenses,Living_Expenses_Override)</f>
        <v>0</v>
      </c>
      <c r="F45" s="266"/>
      <c r="G45" s="267"/>
      <c r="H45" s="267"/>
      <c r="I45" s="268"/>
      <c r="J45" s="404">
        <f t="shared" si="0"/>
        <v>0</v>
      </c>
    </row>
    <row r="46" spans="1:10" ht="3.95" customHeight="1">
      <c r="A46" s="30"/>
      <c r="B46" s="30"/>
      <c r="C46" s="30"/>
      <c r="D46" s="30"/>
      <c r="E46" s="30"/>
      <c r="F46" s="30"/>
      <c r="I46" s="30"/>
      <c r="J46" s="30"/>
    </row>
    <row r="47" spans="1:10">
      <c r="A47" s="88" t="s">
        <v>141</v>
      </c>
      <c r="B47" s="86"/>
      <c r="C47" s="86"/>
      <c r="D47" s="86"/>
      <c r="E47" s="86"/>
      <c r="F47" s="87"/>
      <c r="G47" s="281" t="str">
        <f>Maximum_Loan_Amount_Text</f>
        <v>Maximum Loan Amount</v>
      </c>
      <c r="H47" s="224"/>
      <c r="I47" s="49"/>
      <c r="J47" s="49"/>
    </row>
    <row r="48" spans="1:10">
      <c r="A48" s="411" t="s">
        <v>69</v>
      </c>
      <c r="B48" s="411"/>
      <c r="C48" s="411"/>
      <c r="D48" s="411"/>
      <c r="E48" s="411"/>
      <c r="F48" s="388">
        <f>Total_Net_Annual_Income</f>
        <v>0</v>
      </c>
      <c r="G48" s="279">
        <f>MaximumLoanAmount</f>
        <v>0</v>
      </c>
      <c r="H48" s="280"/>
      <c r="I48" s="205" t="s">
        <v>142</v>
      </c>
      <c r="J48" s="207" t="e">
        <f>(Loan_Amount/SUM(E29:F34,I35))</f>
        <v>#DIV/0!</v>
      </c>
    </row>
    <row r="49" spans="1:11" ht="13.9" thickBot="1">
      <c r="A49" s="261" t="s">
        <v>143</v>
      </c>
      <c r="B49" s="262"/>
      <c r="C49" s="262"/>
      <c r="D49" s="262"/>
      <c r="E49" s="288"/>
      <c r="F49" s="388">
        <f>Applicable_Living_Expenses</f>
        <v>0</v>
      </c>
      <c r="I49" s="205" t="s">
        <v>144</v>
      </c>
      <c r="J49" s="208" t="e">
        <f>SUM(Loan_Amount,Other_Loans_OO_Amount,Other_Loans_Inv_Amount,Other_CreditCard_Limits,G21,G22,G23,Other_Commits_Amount)/SUM(E29:F34,I35)</f>
        <v>#DIV/0!</v>
      </c>
      <c r="K49" s="34"/>
    </row>
    <row r="50" spans="1:11" ht="18" thickBot="1">
      <c r="A50" s="261" t="s">
        <v>145</v>
      </c>
      <c r="B50" s="262"/>
      <c r="C50" s="262"/>
      <c r="D50" s="262"/>
      <c r="E50" s="288"/>
      <c r="F50" s="388">
        <f>Other_Commits_Total_Monthly_Payment*12</f>
        <v>0</v>
      </c>
      <c r="I50" s="206" t="s">
        <v>146</v>
      </c>
      <c r="J50" s="204" t="e">
        <f>IF(J49&gt;6,"Yes","No")</f>
        <v>#DIV/0!</v>
      </c>
    </row>
    <row r="51" spans="1:11" ht="12.95" customHeight="1">
      <c r="A51" s="269" t="s">
        <v>147</v>
      </c>
      <c r="B51" s="269"/>
      <c r="C51" s="269"/>
      <c r="D51" s="269"/>
      <c r="E51" s="411"/>
      <c r="F51" s="388">
        <f>ARA</f>
        <v>0</v>
      </c>
      <c r="G51" s="270" t="s">
        <v>148</v>
      </c>
      <c r="H51" s="271"/>
      <c r="I51" s="271"/>
      <c r="J51" s="272"/>
    </row>
    <row r="52" spans="1:11" ht="12.95" customHeight="1">
      <c r="A52" s="286" t="str">
        <f>"Proposed Loan Payments @ "&amp;TEXT(CalculationsReference!G9,"##0.00%")</f>
        <v>Proposed Loan Payments @ 7.50%</v>
      </c>
      <c r="B52" s="287"/>
      <c r="C52" s="287"/>
      <c r="D52" s="287"/>
      <c r="E52" s="288"/>
      <c r="F52" s="388">
        <f>NSR_Rate_Monthly_Payment*12</f>
        <v>0</v>
      </c>
      <c r="G52" s="273"/>
      <c r="H52" s="274"/>
      <c r="I52" s="274"/>
      <c r="J52" s="275"/>
    </row>
    <row r="53" spans="1:11">
      <c r="A53" s="260" t="s">
        <v>149</v>
      </c>
      <c r="B53" s="260"/>
      <c r="C53" s="260"/>
      <c r="D53" s="260"/>
      <c r="E53" s="412"/>
      <c r="F53" s="388">
        <f>TOTAL_COSTS-F52</f>
        <v>0</v>
      </c>
      <c r="G53" s="273"/>
      <c r="H53" s="274"/>
      <c r="I53" s="274"/>
      <c r="J53" s="275"/>
    </row>
    <row r="54" spans="1:11">
      <c r="A54" s="47" t="s">
        <v>150</v>
      </c>
      <c r="B54" s="78"/>
      <c r="C54" s="78"/>
      <c r="D54" s="78"/>
      <c r="E54" s="45"/>
      <c r="F54" s="46">
        <f>ARA_MONTHLY</f>
        <v>0</v>
      </c>
      <c r="G54" s="276"/>
      <c r="H54" s="277"/>
      <c r="I54" s="277"/>
      <c r="J54" s="278"/>
    </row>
    <row r="55" spans="1:11" ht="4.7" customHeight="1"/>
    <row r="56" spans="1:11"/>
    <row r="57" spans="1:11"/>
    <row r="58" spans="1:11"/>
  </sheetData>
  <sheetProtection algorithmName="SHA-512" hashValue="1WaqtU+weK790Wi8rTVhzF/5I9apSmEqb7KCybG0jX15mA3TANJKQ4nad1HcgiVRNigyidN63vJa0gN7DqzDoQ==" saltValue="87NmVjSYJ+VZNBqwS978og==" spinCount="100000" sheet="1" selectLockedCells="1"/>
  <mergeCells count="53">
    <mergeCell ref="E8:H8"/>
    <mergeCell ref="E10:H10"/>
    <mergeCell ref="A20:F20"/>
    <mergeCell ref="B11:C11"/>
    <mergeCell ref="B13:C13"/>
    <mergeCell ref="B12:C12"/>
    <mergeCell ref="E25:F25"/>
    <mergeCell ref="A36:D36"/>
    <mergeCell ref="A16:I16"/>
    <mergeCell ref="A15:I15"/>
    <mergeCell ref="B14:C14"/>
    <mergeCell ref="A27:I27"/>
    <mergeCell ref="A17:E17"/>
    <mergeCell ref="A19:E19"/>
    <mergeCell ref="A18:E18"/>
    <mergeCell ref="E24:F24"/>
    <mergeCell ref="A26:F26"/>
    <mergeCell ref="H17:I17"/>
    <mergeCell ref="A21:F21"/>
    <mergeCell ref="A22:F22"/>
    <mergeCell ref="I18:I19"/>
    <mergeCell ref="A37:D37"/>
    <mergeCell ref="A38:D38"/>
    <mergeCell ref="A40:D40"/>
    <mergeCell ref="A42:D42"/>
    <mergeCell ref="A43:D43"/>
    <mergeCell ref="A44:D44"/>
    <mergeCell ref="A53:E53"/>
    <mergeCell ref="A52:E52"/>
    <mergeCell ref="A50:E50"/>
    <mergeCell ref="F43:I43"/>
    <mergeCell ref="F44:I44"/>
    <mergeCell ref="F45:I45"/>
    <mergeCell ref="A49:E49"/>
    <mergeCell ref="A51:E51"/>
    <mergeCell ref="G51:J54"/>
    <mergeCell ref="A48:E48"/>
    <mergeCell ref="G48:H48"/>
    <mergeCell ref="G47:H47"/>
    <mergeCell ref="A45:D45"/>
    <mergeCell ref="J1:J2"/>
    <mergeCell ref="A5:I5"/>
    <mergeCell ref="C1:H1"/>
    <mergeCell ref="C2:H2"/>
    <mergeCell ref="B4:F4"/>
    <mergeCell ref="I1:I2"/>
    <mergeCell ref="A3:I3"/>
    <mergeCell ref="A1:A2"/>
    <mergeCell ref="B7:C7"/>
    <mergeCell ref="B8:C8"/>
    <mergeCell ref="B6:C6"/>
    <mergeCell ref="B9:C9"/>
    <mergeCell ref="B10:C10"/>
  </mergeCells>
  <phoneticPr fontId="0" type="noConversion"/>
  <conditionalFormatting sqref="F54">
    <cfRule type="expression" dxfId="5" priority="3" stopIfTrue="1">
      <formula>IF(ARA_Test_Result=1,TRUE,FALSE)</formula>
    </cfRule>
    <cfRule type="expression" dxfId="4" priority="4" stopIfTrue="1">
      <formula>IF(ARA_Test_Result=0,TRUE,FALSE)</formula>
    </cfRule>
  </conditionalFormatting>
  <conditionalFormatting sqref="J50">
    <cfRule type="containsText" dxfId="3" priority="1" operator="containsText" text="No">
      <formula>NOT(ISERROR(SEARCH("No",J50)))</formula>
    </cfRule>
    <cfRule type="containsText" dxfId="2" priority="2" operator="containsText" text="Yes">
      <formula>NOT(ISERROR(SEARCH("Yes",J50)))</formula>
    </cfRule>
  </conditionalFormatting>
  <dataValidations xWindow="471" yWindow="589" count="5">
    <dataValidation type="list" allowBlank="1" showInputMessage="1" showErrorMessage="1" sqref="C29:C34" xr:uid="{00000000-0002-0000-0100-000000000000}">
      <formula1>Payment_Frequency</formula1>
    </dataValidation>
    <dataValidation type="list" allowBlank="1" showInputMessage="1" showErrorMessage="1" sqref="B6:C6" xr:uid="{00000000-0002-0000-0100-000001000000}">
      <formula1>Applicant_Type</formula1>
    </dataValidation>
    <dataValidation type="list" allowBlank="1" showInputMessage="1" showErrorMessage="1" prompt="Select the original loan term in months of the Other 'Owner Occupied' Mortgage Loan." sqref="F18" xr:uid="{00000000-0002-0000-0100-000002000000}">
      <formula1>Other_Mtg_OO_LoanTerm</formula1>
    </dataValidation>
    <dataValidation type="list" allowBlank="1" showInputMessage="1" showErrorMessage="1" prompt="Select the original loan term in months of the Other 'Investment' Mortgage Loan." sqref="F19" xr:uid="{00000000-0002-0000-0100-000003000000}">
      <formula1>Other_Mtg_Inv_LoanTerm</formula1>
    </dataValidation>
    <dataValidation type="list" allowBlank="1" showInputMessage="1" showErrorMessage="1" sqref="D9" xr:uid="{00000000-0002-0000-0100-000004000000}">
      <formula1>Credit_Card_Brand</formula1>
    </dataValidation>
  </dataValidations>
  <printOptions horizontalCentered="1" verticalCentered="1"/>
  <pageMargins left="0.74803149606299213" right="0.74803149606299213" top="0.47244094488188981" bottom="0.47244094488188981" header="0.31496062992125984" footer="0.31496062992125984"/>
  <pageSetup paperSize="9" scale="70" orientation="landscape"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zoomScale="90" zoomScaleNormal="100" zoomScaleSheetLayoutView="90" workbookViewId="0">
      <selection activeCell="I18" sqref="I18:I19"/>
    </sheetView>
  </sheetViews>
  <sheetFormatPr defaultColWidth="0" defaultRowHeight="12.95" customHeight="1" zeroHeight="1"/>
  <cols>
    <col min="1" max="1" width="23.42578125" style="4" customWidth="1"/>
    <col min="2" max="4" width="15.42578125" style="4" customWidth="1"/>
    <col min="5" max="9" width="18.5703125" style="4" customWidth="1"/>
    <col min="10" max="10" width="21.140625" style="4" customWidth="1"/>
    <col min="11" max="11" width="0.85546875" style="4" customWidth="1"/>
    <col min="12" max="16384" width="9.140625" style="4" hidden="1"/>
  </cols>
  <sheetData>
    <row r="1" spans="1:10" ht="30" customHeight="1">
      <c r="A1" s="258"/>
      <c r="B1" s="76"/>
      <c r="C1" s="251" t="s">
        <v>95</v>
      </c>
      <c r="D1" s="251"/>
      <c r="E1" s="251"/>
      <c r="F1" s="251"/>
      <c r="G1" s="251"/>
      <c r="H1" s="251"/>
      <c r="I1" s="256"/>
      <c r="J1" s="249" t="str">
        <f>Main!$J$1</f>
        <v>CFCU V13.17 - Feb 24</v>
      </c>
    </row>
    <row r="2" spans="1:10" ht="30" customHeight="1">
      <c r="A2" s="259"/>
      <c r="B2" s="77"/>
      <c r="C2" s="252" t="s">
        <v>97</v>
      </c>
      <c r="D2" s="252"/>
      <c r="E2" s="252"/>
      <c r="F2" s="252"/>
      <c r="G2" s="252"/>
      <c r="H2" s="252"/>
      <c r="I2" s="257"/>
      <c r="J2" s="250"/>
    </row>
    <row r="3" spans="1:10" ht="3.95" customHeight="1">
      <c r="A3" s="413"/>
      <c r="B3" s="414"/>
      <c r="C3" s="414"/>
      <c r="D3" s="414"/>
      <c r="E3" s="414"/>
      <c r="F3" s="414"/>
      <c r="G3" s="414"/>
      <c r="H3" s="414"/>
      <c r="I3" s="415"/>
    </row>
    <row r="4" spans="1:10" ht="13.15">
      <c r="A4" s="139" t="str">
        <f>Main!A4</f>
        <v>Applicant Name</v>
      </c>
      <c r="B4" s="319">
        <f>Main!B4</f>
        <v>0</v>
      </c>
      <c r="C4" s="320"/>
      <c r="D4" s="320"/>
      <c r="E4" s="320"/>
      <c r="F4" s="321"/>
      <c r="G4" s="120"/>
      <c r="H4" s="120"/>
      <c r="I4" s="416">
        <f ca="1">Main!I4</f>
        <v>45712.409190393519</v>
      </c>
      <c r="J4" s="373"/>
    </row>
    <row r="5" spans="1:10" ht="3.95" customHeight="1">
      <c r="A5" s="417"/>
      <c r="B5" s="418"/>
      <c r="C5" s="418"/>
      <c r="D5" s="418"/>
      <c r="E5" s="418"/>
      <c r="F5" s="418"/>
      <c r="G5" s="418"/>
      <c r="H5" s="418"/>
      <c r="I5" s="419"/>
    </row>
    <row r="6" spans="1:10" ht="13.15">
      <c r="A6" s="139" t="str">
        <f>Main!A6</f>
        <v>Borrower Type</v>
      </c>
      <c r="B6" s="322">
        <f>Main!B6</f>
        <v>0</v>
      </c>
      <c r="C6" s="322"/>
      <c r="D6" s="119"/>
      <c r="E6" s="174"/>
      <c r="F6" s="141"/>
      <c r="G6" s="120"/>
      <c r="H6" s="120"/>
      <c r="I6" s="420"/>
      <c r="J6" s="373"/>
    </row>
    <row r="7" spans="1:10" ht="13.15">
      <c r="A7" s="139" t="str">
        <f>Main!A7</f>
        <v>Loan - Owner Occupied</v>
      </c>
      <c r="B7" s="421">
        <f>Main!B7</f>
        <v>0</v>
      </c>
      <c r="C7" s="422"/>
      <c r="D7" s="121"/>
      <c r="E7" s="175"/>
      <c r="F7" s="141"/>
      <c r="G7" s="418"/>
      <c r="H7" s="418"/>
      <c r="I7" s="419"/>
    </row>
    <row r="8" spans="1:10" ht="13.15">
      <c r="A8" s="139" t="str">
        <f>Main!A8</f>
        <v>Loan - Investment</v>
      </c>
      <c r="B8" s="421">
        <f>Main!B8</f>
        <v>0</v>
      </c>
      <c r="C8" s="422"/>
      <c r="D8" s="121"/>
      <c r="E8" s="175"/>
      <c r="F8" s="141"/>
      <c r="G8" s="418"/>
      <c r="H8" s="418"/>
      <c r="I8" s="419"/>
    </row>
    <row r="9" spans="1:10" ht="13.15">
      <c r="A9" s="139" t="str">
        <f>Main!A9</f>
        <v>Credit Card - Limit</v>
      </c>
      <c r="B9" s="421">
        <f>Main!B9</f>
        <v>0</v>
      </c>
      <c r="C9" s="422"/>
      <c r="D9" s="196" t="str">
        <f>Main!D9</f>
        <v>CFCU / Easystreet</v>
      </c>
      <c r="E9" s="175"/>
      <c r="F9" s="141"/>
      <c r="G9" s="418"/>
      <c r="H9" s="418"/>
      <c r="I9" s="419"/>
    </row>
    <row r="10" spans="1:10" ht="12.95" customHeight="1">
      <c r="A10" s="139" t="str">
        <f>Main!A10</f>
        <v>Total Loan Amount</v>
      </c>
      <c r="B10" s="378">
        <f>Main!B10</f>
        <v>0</v>
      </c>
      <c r="C10" s="423"/>
      <c r="D10" s="121"/>
      <c r="E10" s="175"/>
      <c r="F10" s="141"/>
      <c r="G10" s="418"/>
      <c r="H10" s="418"/>
      <c r="I10" s="419"/>
    </row>
    <row r="11" spans="1:10" ht="13.15">
      <c r="A11" s="139" t="str">
        <f>Main!A11</f>
        <v>Loan Interest Rate (p.a.)</v>
      </c>
      <c r="B11" s="424">
        <f>Main!B11</f>
        <v>0</v>
      </c>
      <c r="C11" s="425"/>
      <c r="D11" s="121"/>
      <c r="E11" s="175"/>
      <c r="F11" s="141"/>
      <c r="G11" s="418"/>
      <c r="H11" s="418"/>
      <c r="I11" s="419"/>
    </row>
    <row r="12" spans="1:10" ht="13.15">
      <c r="A12" s="139" t="str">
        <f>Main!A12</f>
        <v>Loan Term (Months)</v>
      </c>
      <c r="B12" s="426">
        <f>Main!B12</f>
        <v>0</v>
      </c>
      <c r="C12" s="427"/>
      <c r="D12" s="121"/>
      <c r="E12" s="175"/>
      <c r="F12" s="141"/>
      <c r="G12" s="141"/>
      <c r="H12" s="141"/>
      <c r="I12" s="142"/>
    </row>
    <row r="13" spans="1:10" ht="12.95" customHeight="1">
      <c r="A13" s="139" t="str">
        <f>Main!A13</f>
        <v>Loan Term (Years)</v>
      </c>
      <c r="B13" s="384">
        <f>Main!B13</f>
        <v>0</v>
      </c>
      <c r="C13" s="428"/>
      <c r="D13" s="122"/>
      <c r="E13" s="176"/>
      <c r="F13" s="141"/>
      <c r="G13" s="323"/>
      <c r="H13" s="323"/>
      <c r="I13" s="324"/>
      <c r="J13" s="80"/>
    </row>
    <row r="14" spans="1:10" ht="12.95" customHeight="1">
      <c r="A14" s="139" t="str">
        <f>Main!A14</f>
        <v>Total Monthly Payment</v>
      </c>
      <c r="B14" s="378">
        <f>Main!B14</f>
        <v>0</v>
      </c>
      <c r="C14" s="423"/>
      <c r="D14" s="123"/>
      <c r="E14" s="177"/>
      <c r="F14" s="130"/>
      <c r="G14" s="325"/>
      <c r="H14" s="325"/>
      <c r="I14" s="326"/>
      <c r="J14" s="80"/>
    </row>
    <row r="15" spans="1:10" ht="3.95" customHeight="1">
      <c r="A15" s="364"/>
      <c r="B15" s="364"/>
      <c r="C15" s="364"/>
      <c r="D15" s="364"/>
      <c r="E15" s="364"/>
      <c r="F15" s="364"/>
      <c r="G15" s="364"/>
      <c r="H15" s="364"/>
      <c r="I15" s="364"/>
      <c r="J15" s="30"/>
    </row>
    <row r="16" spans="1:10" ht="13.15">
      <c r="A16" s="316" t="s">
        <v>106</v>
      </c>
      <c r="B16" s="317"/>
      <c r="C16" s="317"/>
      <c r="D16" s="317"/>
      <c r="E16" s="317"/>
      <c r="F16" s="317"/>
      <c r="G16" s="317"/>
      <c r="H16" s="317"/>
      <c r="I16" s="318"/>
      <c r="J16" s="81"/>
    </row>
    <row r="17" spans="1:11" ht="13.15">
      <c r="A17" s="429" t="s">
        <v>107</v>
      </c>
      <c r="B17" s="430"/>
      <c r="C17" s="430"/>
      <c r="D17" s="430"/>
      <c r="E17" s="430"/>
      <c r="F17" s="103"/>
      <c r="G17" s="143" t="s">
        <v>108</v>
      </c>
      <c r="H17" s="306" t="s">
        <v>109</v>
      </c>
      <c r="I17" s="307"/>
      <c r="J17" s="72"/>
    </row>
    <row r="18" spans="1:11" ht="12.95" customHeight="1">
      <c r="A18" s="431" t="s">
        <v>110</v>
      </c>
      <c r="B18" s="432"/>
      <c r="C18" s="432"/>
      <c r="D18" s="432"/>
      <c r="E18" s="432"/>
      <c r="F18" s="103"/>
      <c r="G18" s="48">
        <f>Main!G18</f>
        <v>0</v>
      </c>
      <c r="H18" s="48">
        <f>Main!H18</f>
        <v>0</v>
      </c>
      <c r="I18" s="314" t="s">
        <v>151</v>
      </c>
      <c r="J18" s="80"/>
    </row>
    <row r="19" spans="1:11" ht="12.95" customHeight="1">
      <c r="A19" s="433" t="s">
        <v>111</v>
      </c>
      <c r="B19" s="434"/>
      <c r="C19" s="434"/>
      <c r="D19" s="434"/>
      <c r="E19" s="434"/>
      <c r="F19" s="103"/>
      <c r="G19" s="48">
        <f>Main!G19</f>
        <v>0</v>
      </c>
      <c r="H19" s="48">
        <f>Main!H19</f>
        <v>0</v>
      </c>
      <c r="I19" s="315"/>
      <c r="J19" s="80"/>
    </row>
    <row r="20" spans="1:11" ht="13.15">
      <c r="A20" s="308" t="s">
        <v>40</v>
      </c>
      <c r="B20" s="309"/>
      <c r="C20" s="309"/>
      <c r="D20" s="309"/>
      <c r="E20" s="310"/>
      <c r="F20" s="311"/>
      <c r="G20" s="48">
        <f>Main!G20</f>
        <v>0</v>
      </c>
      <c r="H20" s="388">
        <f>Main!H20</f>
        <v>0</v>
      </c>
      <c r="I20" s="194" t="s">
        <v>152</v>
      </c>
      <c r="J20" s="80"/>
    </row>
    <row r="21" spans="1:11" ht="13.15">
      <c r="A21" s="308" t="s">
        <v>42</v>
      </c>
      <c r="B21" s="309"/>
      <c r="C21" s="309"/>
      <c r="D21" s="309"/>
      <c r="E21" s="310"/>
      <c r="F21" s="311"/>
      <c r="G21" s="48">
        <f>Main!G21</f>
        <v>0</v>
      </c>
      <c r="H21" s="388">
        <f>Main!H21</f>
        <v>0</v>
      </c>
      <c r="I21" s="194" t="s">
        <v>153</v>
      </c>
      <c r="J21" s="80"/>
    </row>
    <row r="22" spans="1:11" ht="13.15">
      <c r="A22" s="308" t="s">
        <v>44</v>
      </c>
      <c r="B22" s="309"/>
      <c r="C22" s="309"/>
      <c r="D22" s="309"/>
      <c r="E22" s="310"/>
      <c r="F22" s="311"/>
      <c r="G22" s="48">
        <f>Main!G22</f>
        <v>0</v>
      </c>
      <c r="H22" s="388">
        <f>Main!H22</f>
        <v>0</v>
      </c>
      <c r="I22" s="194" t="s">
        <v>154</v>
      </c>
      <c r="J22" s="80"/>
    </row>
    <row r="23" spans="1:11" ht="13.15">
      <c r="A23" s="308" t="s">
        <v>112</v>
      </c>
      <c r="B23" s="309"/>
      <c r="C23" s="309"/>
      <c r="D23" s="309"/>
      <c r="E23" s="310"/>
      <c r="F23" s="311"/>
      <c r="G23" s="48">
        <f>Main!G23</f>
        <v>0</v>
      </c>
      <c r="H23" s="388">
        <f>Main!H23</f>
        <v>0</v>
      </c>
      <c r="I23" s="315" t="s">
        <v>155</v>
      </c>
      <c r="J23" s="80"/>
    </row>
    <row r="24" spans="1:11" ht="13.15">
      <c r="A24" s="435" t="s">
        <v>113</v>
      </c>
      <c r="B24" s="310"/>
      <c r="C24" s="310"/>
      <c r="D24" s="310"/>
      <c r="E24" s="312">
        <f>Main!$E$24</f>
        <v>5</v>
      </c>
      <c r="F24" s="436"/>
      <c r="G24" s="48">
        <f>Main!G24</f>
        <v>0</v>
      </c>
      <c r="H24" s="48">
        <f>Main!H24</f>
        <v>0</v>
      </c>
      <c r="I24" s="315"/>
      <c r="J24" s="80"/>
    </row>
    <row r="25" spans="1:11" ht="13.15">
      <c r="A25" s="437" t="str">
        <f>Main!A25</f>
        <v>Monthly Rent (Specify Address)</v>
      </c>
      <c r="B25" s="438"/>
      <c r="C25" s="438"/>
      <c r="D25" s="438"/>
      <c r="E25" s="312">
        <f>Main!E25</f>
        <v>0</v>
      </c>
      <c r="F25" s="313"/>
      <c r="G25" s="143"/>
      <c r="H25" s="48">
        <f>Main!H25</f>
        <v>0</v>
      </c>
      <c r="I25" s="188"/>
      <c r="J25" s="80"/>
    </row>
    <row r="26" spans="1:11" ht="13.15">
      <c r="A26" s="439" t="str">
        <f>Main!A26</f>
        <v>Total</v>
      </c>
      <c r="B26" s="440"/>
      <c r="C26" s="440"/>
      <c r="D26" s="440"/>
      <c r="E26" s="310"/>
      <c r="F26" s="311"/>
      <c r="G26" s="441">
        <f>Main!G26</f>
        <v>0</v>
      </c>
      <c r="H26" s="441">
        <f>Main!H26</f>
        <v>0</v>
      </c>
      <c r="I26" s="189"/>
      <c r="J26" s="80"/>
    </row>
    <row r="27" spans="1:11" ht="3.95" customHeight="1">
      <c r="A27" s="392"/>
      <c r="B27" s="392"/>
      <c r="C27" s="392"/>
      <c r="D27" s="392"/>
      <c r="E27" s="392"/>
      <c r="F27" s="392"/>
      <c r="G27" s="392"/>
      <c r="H27" s="392"/>
      <c r="I27" s="393"/>
      <c r="J27" s="30"/>
    </row>
    <row r="28" spans="1:11" ht="39.6">
      <c r="A28" s="114" t="s">
        <v>115</v>
      </c>
      <c r="B28" s="116" t="s">
        <v>116</v>
      </c>
      <c r="C28" s="116" t="s">
        <v>117</v>
      </c>
      <c r="D28" s="116" t="s">
        <v>118</v>
      </c>
      <c r="E28" s="117" t="s">
        <v>119</v>
      </c>
      <c r="F28" s="117" t="s">
        <v>120</v>
      </c>
      <c r="G28" s="117" t="s">
        <v>121</v>
      </c>
      <c r="H28" s="117" t="s">
        <v>122</v>
      </c>
      <c r="I28" s="117" t="s">
        <v>123</v>
      </c>
      <c r="J28" s="118" t="s">
        <v>124</v>
      </c>
      <c r="K28" s="30"/>
    </row>
    <row r="29" spans="1:11" ht="13.15">
      <c r="A29" s="442" t="s">
        <v>125</v>
      </c>
      <c r="B29" s="48">
        <f>Main!B29</f>
        <v>0</v>
      </c>
      <c r="C29" s="443">
        <f>Main!C29</f>
        <v>0</v>
      </c>
      <c r="D29" s="48">
        <f>Main!D29</f>
        <v>0</v>
      </c>
      <c r="E29" s="441">
        <f>Main!E29</f>
        <v>0</v>
      </c>
      <c r="F29" s="48">
        <f>Main!F29</f>
        <v>0</v>
      </c>
      <c r="G29" s="441">
        <f>Main!G29</f>
        <v>0</v>
      </c>
      <c r="H29" s="441">
        <f>Main!H29</f>
        <v>0</v>
      </c>
      <c r="I29" s="441">
        <f>Main!I29</f>
        <v>0</v>
      </c>
      <c r="J29" s="441">
        <f>Main!J29</f>
        <v>0</v>
      </c>
    </row>
    <row r="30" spans="1:11" ht="13.15">
      <c r="A30" s="442" t="s">
        <v>126</v>
      </c>
      <c r="B30" s="48">
        <f>Main!B30</f>
        <v>0</v>
      </c>
      <c r="C30" s="443">
        <f>Main!C30</f>
        <v>0</v>
      </c>
      <c r="D30" s="48">
        <f>Main!D30</f>
        <v>0</v>
      </c>
      <c r="E30" s="441">
        <f>Main!E30</f>
        <v>0</v>
      </c>
      <c r="F30" s="48">
        <f>Main!F30</f>
        <v>0</v>
      </c>
      <c r="G30" s="441">
        <f>Main!G30</f>
        <v>0</v>
      </c>
      <c r="H30" s="441">
        <f>Main!H30</f>
        <v>0</v>
      </c>
      <c r="I30" s="441">
        <f>Main!I30</f>
        <v>0</v>
      </c>
      <c r="J30" s="441">
        <f>Main!J30</f>
        <v>0</v>
      </c>
    </row>
    <row r="31" spans="1:11" ht="13.15">
      <c r="A31" s="442" t="s">
        <v>127</v>
      </c>
      <c r="B31" s="48">
        <f>Main!B31</f>
        <v>0</v>
      </c>
      <c r="C31" s="443">
        <f>Main!C31</f>
        <v>0</v>
      </c>
      <c r="D31" s="48">
        <f>Main!D31</f>
        <v>0</v>
      </c>
      <c r="E31" s="441">
        <f>Main!E31</f>
        <v>0</v>
      </c>
      <c r="F31" s="48">
        <f>Main!F31</f>
        <v>0</v>
      </c>
      <c r="G31" s="441">
        <f>Main!G31</f>
        <v>0</v>
      </c>
      <c r="H31" s="441">
        <f>Main!H31</f>
        <v>0</v>
      </c>
      <c r="I31" s="441">
        <f>Main!I31</f>
        <v>0</v>
      </c>
      <c r="J31" s="441">
        <f>Main!J31</f>
        <v>0</v>
      </c>
    </row>
    <row r="32" spans="1:11" ht="13.15">
      <c r="A32" s="442" t="s">
        <v>128</v>
      </c>
      <c r="B32" s="48">
        <f>Main!B32</f>
        <v>0</v>
      </c>
      <c r="C32" s="443">
        <f>Main!C32</f>
        <v>0</v>
      </c>
      <c r="D32" s="48">
        <f>Main!D32</f>
        <v>0</v>
      </c>
      <c r="E32" s="441">
        <f>Main!E32</f>
        <v>0</v>
      </c>
      <c r="F32" s="48">
        <f>Main!F32</f>
        <v>0</v>
      </c>
      <c r="G32" s="441">
        <f>Main!G32</f>
        <v>0</v>
      </c>
      <c r="H32" s="441">
        <f>Main!H32</f>
        <v>0</v>
      </c>
      <c r="I32" s="441">
        <f>Main!I32</f>
        <v>0</v>
      </c>
      <c r="J32" s="441">
        <f>Main!J32</f>
        <v>0</v>
      </c>
    </row>
    <row r="33" spans="1:10" ht="13.15">
      <c r="A33" s="442" t="s">
        <v>129</v>
      </c>
      <c r="B33" s="48">
        <f>Main!B33</f>
        <v>0</v>
      </c>
      <c r="C33" s="443">
        <f>Main!C33</f>
        <v>0</v>
      </c>
      <c r="D33" s="48">
        <f>Main!D33</f>
        <v>0</v>
      </c>
      <c r="E33" s="441">
        <f>Main!E33</f>
        <v>0</v>
      </c>
      <c r="F33" s="48">
        <f>Main!F33</f>
        <v>0</v>
      </c>
      <c r="G33" s="441">
        <f>Main!G33</f>
        <v>0</v>
      </c>
      <c r="H33" s="441">
        <f>Main!H33</f>
        <v>0</v>
      </c>
      <c r="I33" s="441">
        <f>Main!I33</f>
        <v>0</v>
      </c>
      <c r="J33" s="441">
        <f>Main!J33</f>
        <v>0</v>
      </c>
    </row>
    <row r="34" spans="1:10" ht="13.15">
      <c r="A34" s="442" t="s">
        <v>130</v>
      </c>
      <c r="B34" s="48">
        <f>Main!B34</f>
        <v>0</v>
      </c>
      <c r="C34" s="443">
        <f>Main!C34</f>
        <v>0</v>
      </c>
      <c r="D34" s="48">
        <f>Main!D34</f>
        <v>0</v>
      </c>
      <c r="E34" s="441">
        <f>Main!E34</f>
        <v>0</v>
      </c>
      <c r="F34" s="48">
        <f>Main!F34</f>
        <v>0</v>
      </c>
      <c r="G34" s="441">
        <f>Main!G34</f>
        <v>0</v>
      </c>
      <c r="H34" s="441">
        <f>Main!H34</f>
        <v>0</v>
      </c>
      <c r="I34" s="441">
        <f>Main!I34</f>
        <v>0</v>
      </c>
      <c r="J34" s="441">
        <f>Main!J34</f>
        <v>0</v>
      </c>
    </row>
    <row r="35" spans="1:10" ht="52.9">
      <c r="A35" s="115" t="s">
        <v>131</v>
      </c>
      <c r="B35" s="444">
        <f>Main!B35</f>
        <v>0</v>
      </c>
      <c r="C35" s="93" t="str">
        <f>Main!C35</f>
        <v>Fortnightly</v>
      </c>
      <c r="D35" s="215"/>
      <c r="E35" s="215"/>
      <c r="F35" s="215"/>
      <c r="G35" s="215"/>
      <c r="H35" s="215"/>
      <c r="I35" s="445">
        <f>Main!I35</f>
        <v>0</v>
      </c>
      <c r="J35" s="445">
        <f>Main!J35</f>
        <v>0</v>
      </c>
    </row>
    <row r="36" spans="1:10" ht="13.15">
      <c r="A36" s="433" t="s">
        <v>132</v>
      </c>
      <c r="B36" s="434"/>
      <c r="C36" s="434"/>
      <c r="D36" s="446"/>
      <c r="E36" s="48">
        <f>Main!E36</f>
        <v>0</v>
      </c>
      <c r="F36" s="447">
        <f>Main!F36</f>
        <v>0</v>
      </c>
      <c r="G36" s="448">
        <f>Main!G36</f>
        <v>0</v>
      </c>
      <c r="H36" s="449">
        <f>Main!H36</f>
        <v>0</v>
      </c>
      <c r="I36" s="448">
        <f>Main!I36</f>
        <v>0</v>
      </c>
      <c r="J36" s="448">
        <f>Main!J36</f>
        <v>0</v>
      </c>
    </row>
    <row r="37" spans="1:10" ht="13.15">
      <c r="A37" s="433" t="s">
        <v>133</v>
      </c>
      <c r="B37" s="434"/>
      <c r="C37" s="434"/>
      <c r="D37" s="446"/>
      <c r="E37" s="450">
        <f>Main!E37</f>
        <v>0</v>
      </c>
      <c r="F37" s="107"/>
      <c r="G37" s="108"/>
      <c r="H37" s="108"/>
      <c r="I37" s="108"/>
      <c r="J37" s="109"/>
    </row>
    <row r="38" spans="1:10" ht="13.15">
      <c r="A38" s="433" t="s">
        <v>134</v>
      </c>
      <c r="B38" s="434"/>
      <c r="C38" s="434"/>
      <c r="D38" s="446"/>
      <c r="E38" s="448">
        <f>Main!E38</f>
        <v>0</v>
      </c>
      <c r="F38" s="174" t="str">
        <f>Main!F38</f>
        <v/>
      </c>
      <c r="G38" s="174"/>
      <c r="H38" s="174"/>
      <c r="I38" s="174"/>
      <c r="J38" s="451"/>
    </row>
    <row r="39" spans="1:10" ht="13.15">
      <c r="A39" s="214" t="s">
        <v>156</v>
      </c>
      <c r="B39" s="215"/>
      <c r="C39" s="215"/>
      <c r="D39" s="215"/>
      <c r="E39" s="215"/>
      <c r="F39" s="215"/>
      <c r="G39" s="215"/>
      <c r="H39" s="215"/>
      <c r="I39" s="48">
        <f>Main!I39</f>
        <v>0</v>
      </c>
      <c r="J39" s="144"/>
    </row>
    <row r="40" spans="1:10" ht="13.15">
      <c r="A40" s="435" t="s">
        <v>136</v>
      </c>
      <c r="B40" s="310"/>
      <c r="C40" s="310"/>
      <c r="D40" s="311"/>
      <c r="E40" s="452">
        <f>Main!E40</f>
        <v>0</v>
      </c>
      <c r="F40" s="441">
        <f>Main!F40</f>
        <v>0</v>
      </c>
      <c r="G40" s="441">
        <f>Main!G40</f>
        <v>0</v>
      </c>
      <c r="H40" s="441">
        <f>Main!H40</f>
        <v>0</v>
      </c>
      <c r="I40" s="441">
        <f>Main!I40</f>
        <v>0</v>
      </c>
      <c r="J40" s="441">
        <f>Main!J40</f>
        <v>0</v>
      </c>
    </row>
    <row r="41" spans="1:10" ht="3.95" customHeight="1">
      <c r="E41" s="50"/>
      <c r="F41" s="50"/>
      <c r="G41" s="50"/>
      <c r="H41" s="50"/>
      <c r="I41" s="50"/>
    </row>
    <row r="42" spans="1:10" ht="13.15">
      <c r="A42" s="429" t="s">
        <v>137</v>
      </c>
      <c r="B42" s="430"/>
      <c r="C42" s="430"/>
      <c r="D42" s="453"/>
      <c r="E42" s="98" t="s">
        <v>138</v>
      </c>
      <c r="F42" s="104"/>
      <c r="G42" s="105"/>
      <c r="H42" s="105"/>
      <c r="I42" s="106"/>
      <c r="J42" s="103" t="s">
        <v>139</v>
      </c>
    </row>
    <row r="43" spans="1:10" ht="13.15">
      <c r="A43" s="433" t="s">
        <v>27</v>
      </c>
      <c r="B43" s="434"/>
      <c r="C43" s="434"/>
      <c r="D43" s="446"/>
      <c r="E43" s="454">
        <f>Main!E43</f>
        <v>0</v>
      </c>
      <c r="F43" s="300"/>
      <c r="G43" s="301"/>
      <c r="H43" s="301"/>
      <c r="I43" s="302"/>
      <c r="J43" s="455">
        <f>Main!J43</f>
        <v>0</v>
      </c>
    </row>
    <row r="44" spans="1:10" ht="13.15">
      <c r="A44" s="433" t="s">
        <v>30</v>
      </c>
      <c r="B44" s="434"/>
      <c r="C44" s="434"/>
      <c r="D44" s="446"/>
      <c r="E44" s="450">
        <f>Main!E44</f>
        <v>0</v>
      </c>
      <c r="F44" s="300"/>
      <c r="G44" s="301"/>
      <c r="H44" s="301"/>
      <c r="I44" s="302"/>
      <c r="J44" s="455">
        <f>Main!J44</f>
        <v>0</v>
      </c>
    </row>
    <row r="45" spans="1:10" ht="13.15">
      <c r="A45" s="433" t="s">
        <v>140</v>
      </c>
      <c r="B45" s="434"/>
      <c r="C45" s="434"/>
      <c r="D45" s="446"/>
      <c r="E45" s="456">
        <f>Main!E45</f>
        <v>0</v>
      </c>
      <c r="F45" s="303"/>
      <c r="G45" s="304"/>
      <c r="H45" s="304"/>
      <c r="I45" s="305"/>
      <c r="J45" s="452">
        <f>Main!J45</f>
        <v>0</v>
      </c>
    </row>
    <row r="46" spans="1:10" ht="3.95" customHeight="1">
      <c r="A46" s="30"/>
      <c r="B46" s="30"/>
      <c r="C46" s="30"/>
      <c r="D46" s="30"/>
      <c r="E46" s="30"/>
      <c r="F46" s="30"/>
      <c r="I46" s="30"/>
      <c r="J46" s="30"/>
    </row>
    <row r="47" spans="1:10" ht="13.15">
      <c r="A47" s="98" t="s">
        <v>141</v>
      </c>
      <c r="B47" s="99"/>
      <c r="C47" s="99"/>
      <c r="D47" s="99"/>
      <c r="E47" s="99"/>
      <c r="F47" s="103"/>
      <c r="G47" s="306" t="str">
        <f>Maximum_Loan_Amount_Text</f>
        <v>Maximum Loan Amount</v>
      </c>
      <c r="H47" s="307"/>
      <c r="I47" s="110"/>
      <c r="J47" s="111"/>
    </row>
    <row r="48" spans="1:10" ht="13.15">
      <c r="A48" s="457" t="s">
        <v>69</v>
      </c>
      <c r="B48" s="457"/>
      <c r="C48" s="457"/>
      <c r="D48" s="457"/>
      <c r="E48" s="457"/>
      <c r="F48" s="441">
        <f>Main!F48</f>
        <v>0</v>
      </c>
      <c r="G48" s="298">
        <f>Main!$G$48</f>
        <v>0</v>
      </c>
      <c r="H48" s="299"/>
      <c r="I48" s="141"/>
      <c r="J48" s="142"/>
    </row>
    <row r="49" spans="1:11" ht="13.15">
      <c r="A49" s="294" t="s">
        <v>143</v>
      </c>
      <c r="B49" s="295"/>
      <c r="C49" s="295"/>
      <c r="D49" s="295"/>
      <c r="E49" s="311"/>
      <c r="F49" s="441">
        <f>Main!F49</f>
        <v>0</v>
      </c>
      <c r="G49" s="112"/>
      <c r="H49" s="141"/>
      <c r="I49" s="141"/>
      <c r="J49" s="458"/>
      <c r="K49" s="34"/>
    </row>
    <row r="50" spans="1:11" ht="13.15">
      <c r="A50" s="294" t="s">
        <v>145</v>
      </c>
      <c r="B50" s="295"/>
      <c r="C50" s="295"/>
      <c r="D50" s="295"/>
      <c r="E50" s="311"/>
      <c r="F50" s="441">
        <f>Main!F50</f>
        <v>0</v>
      </c>
      <c r="G50" s="140"/>
      <c r="H50" s="130"/>
      <c r="I50" s="130"/>
      <c r="J50" s="113"/>
    </row>
    <row r="51" spans="1:11" ht="12.95" customHeight="1">
      <c r="A51" s="296" t="s">
        <v>147</v>
      </c>
      <c r="B51" s="296"/>
      <c r="C51" s="296"/>
      <c r="D51" s="296"/>
      <c r="E51" s="457"/>
      <c r="F51" s="441">
        <f>Main!F51</f>
        <v>0</v>
      </c>
      <c r="G51" s="270" t="s">
        <v>148</v>
      </c>
      <c r="H51" s="271"/>
      <c r="I51" s="271"/>
      <c r="J51" s="272"/>
    </row>
    <row r="52" spans="1:11" ht="12.95" customHeight="1">
      <c r="A52" s="435" t="str">
        <f>"Proposed Loan Payments @ "&amp;TEXT(CalculationsReference!G9,"##0.00%")</f>
        <v>Proposed Loan Payments @ 7.50%</v>
      </c>
      <c r="B52" s="310"/>
      <c r="C52" s="310"/>
      <c r="D52" s="310"/>
      <c r="E52" s="311"/>
      <c r="F52" s="441">
        <f>Main!F52</f>
        <v>0</v>
      </c>
      <c r="G52" s="273"/>
      <c r="H52" s="274"/>
      <c r="I52" s="274"/>
      <c r="J52" s="275"/>
    </row>
    <row r="53" spans="1:11" ht="13.15">
      <c r="A53" s="297" t="s">
        <v>149</v>
      </c>
      <c r="B53" s="297"/>
      <c r="C53" s="297"/>
      <c r="D53" s="297"/>
      <c r="E53" s="459"/>
      <c r="F53" s="441">
        <f>Main!F53</f>
        <v>0</v>
      </c>
      <c r="G53" s="273"/>
      <c r="H53" s="274"/>
      <c r="I53" s="274"/>
      <c r="J53" s="275"/>
    </row>
    <row r="54" spans="1:11" ht="13.15">
      <c r="A54" s="100" t="s">
        <v>150</v>
      </c>
      <c r="B54" s="101"/>
      <c r="C54" s="101"/>
      <c r="D54" s="101"/>
      <c r="E54" s="102"/>
      <c r="F54" s="46">
        <f>Main!F54</f>
        <v>0</v>
      </c>
      <c r="G54" s="276"/>
      <c r="H54" s="277"/>
      <c r="I54" s="277"/>
      <c r="J54" s="278"/>
    </row>
    <row r="55" spans="1:11" ht="4.7" customHeight="1"/>
    <row r="56" spans="1:11" ht="13.15"/>
  </sheetData>
  <sheetProtection algorithmName="SHA-512" hashValue="SRnNCOQ6mPCTOQVws0R2quDgRfxVfOC9AyjjRpiLViRDuWAD8x0UI72D+1rainHSIT/8pUu7qpVi3JwNNw8D2w==" saltValue="dXAToZ+HP97SLInduQCxKQ==" spinCount="100000" sheet="1" selectLockedCells="1"/>
  <mergeCells count="57">
    <mergeCell ref="A3:I3"/>
    <mergeCell ref="A1:A2"/>
    <mergeCell ref="C1:H1"/>
    <mergeCell ref="I1:I2"/>
    <mergeCell ref="J1:J2"/>
    <mergeCell ref="C2:H2"/>
    <mergeCell ref="A16:I16"/>
    <mergeCell ref="B4:F4"/>
    <mergeCell ref="A5:I5"/>
    <mergeCell ref="B6:C6"/>
    <mergeCell ref="B7:C7"/>
    <mergeCell ref="G7:I11"/>
    <mergeCell ref="B8:C8"/>
    <mergeCell ref="B10:C10"/>
    <mergeCell ref="B11:C11"/>
    <mergeCell ref="B13:C13"/>
    <mergeCell ref="G13:I13"/>
    <mergeCell ref="B14:C14"/>
    <mergeCell ref="G14:I14"/>
    <mergeCell ref="A15:I15"/>
    <mergeCell ref="B12:C12"/>
    <mergeCell ref="B9:C9"/>
    <mergeCell ref="H17:I17"/>
    <mergeCell ref="A20:F20"/>
    <mergeCell ref="E24:F24"/>
    <mergeCell ref="A26:F26"/>
    <mergeCell ref="A23:F23"/>
    <mergeCell ref="E25:F25"/>
    <mergeCell ref="A17:E17"/>
    <mergeCell ref="A18:E18"/>
    <mergeCell ref="A19:E19"/>
    <mergeCell ref="A24:D24"/>
    <mergeCell ref="A21:F21"/>
    <mergeCell ref="A22:F22"/>
    <mergeCell ref="I18:I19"/>
    <mergeCell ref="I23:I24"/>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A49:E49"/>
    <mergeCell ref="A50:E50"/>
    <mergeCell ref="A51:E51"/>
    <mergeCell ref="G51:J54"/>
    <mergeCell ref="A52:E52"/>
    <mergeCell ref="A53:E53"/>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77"/>
  <sheetViews>
    <sheetView topLeftCell="A30" zoomScale="90" zoomScaleNormal="90" workbookViewId="0">
      <selection activeCell="A66" sqref="A66"/>
    </sheetView>
  </sheetViews>
  <sheetFormatPr defaultColWidth="9.140625" defaultRowHeight="13.15"/>
  <cols>
    <col min="1" max="1" width="46" style="4" customWidth="1"/>
    <col min="2" max="2" width="18.42578125" style="4" customWidth="1"/>
    <col min="3" max="3" width="18" style="4" bestFit="1" customWidth="1"/>
    <col min="4" max="4" width="18.42578125" style="4" customWidth="1"/>
    <col min="5" max="5" width="15.5703125" style="4" customWidth="1"/>
    <col min="6" max="6" width="18" style="4" customWidth="1"/>
    <col min="7" max="7" width="19.5703125" style="4" bestFit="1" customWidth="1"/>
    <col min="8" max="8" width="19.42578125" style="4" bestFit="1" customWidth="1"/>
    <col min="9" max="9" width="15.42578125" style="4" bestFit="1" customWidth="1"/>
    <col min="10" max="12" width="12.140625" style="4" bestFit="1" customWidth="1"/>
    <col min="13" max="13" width="10.5703125" style="4" customWidth="1"/>
    <col min="14" max="21" width="11.140625" style="4" bestFit="1" customWidth="1"/>
    <col min="22" max="16384" width="9.140625" style="4"/>
  </cols>
  <sheetData>
    <row r="1" spans="1:10" ht="15.95" customHeight="1">
      <c r="A1" s="327" t="s">
        <v>157</v>
      </c>
      <c r="B1" s="328"/>
      <c r="C1" s="328"/>
      <c r="D1" s="328"/>
      <c r="E1" s="328"/>
      <c r="F1" s="5">
        <f>Main!I1</f>
        <v>0</v>
      </c>
    </row>
    <row r="2" spans="1:10">
      <c r="A2" s="8"/>
      <c r="B2" s="8"/>
      <c r="H2" s="79" t="s">
        <v>158</v>
      </c>
      <c r="I2" s="9" t="s">
        <v>159</v>
      </c>
      <c r="J2" s="30"/>
    </row>
    <row r="3" spans="1:10">
      <c r="A3" s="329" t="s">
        <v>160</v>
      </c>
      <c r="B3" s="330"/>
      <c r="H3" s="460" t="s">
        <v>161</v>
      </c>
      <c r="I3" s="461">
        <f>365/7</f>
        <v>52.142857142857146</v>
      </c>
    </row>
    <row r="4" spans="1:10">
      <c r="A4" s="134" t="s">
        <v>162</v>
      </c>
      <c r="B4" s="462">
        <v>0.05</v>
      </c>
      <c r="H4" s="460" t="s">
        <v>163</v>
      </c>
      <c r="I4" s="461">
        <f>365/14</f>
        <v>26.071428571428573</v>
      </c>
    </row>
    <row r="5" spans="1:10">
      <c r="A5" s="134" t="s">
        <v>164</v>
      </c>
      <c r="B5" s="462">
        <v>2.5000000000000001E-2</v>
      </c>
      <c r="C5" s="463"/>
      <c r="H5" s="460" t="s">
        <v>165</v>
      </c>
      <c r="I5" s="464">
        <v>12</v>
      </c>
    </row>
    <row r="6" spans="1:10">
      <c r="B6" s="463"/>
      <c r="C6" s="463"/>
      <c r="H6" s="460" t="s">
        <v>166</v>
      </c>
      <c r="I6" s="464">
        <v>4</v>
      </c>
    </row>
    <row r="7" spans="1:10">
      <c r="A7" s="10" t="s">
        <v>167</v>
      </c>
      <c r="B7" s="331" t="s">
        <v>168</v>
      </c>
      <c r="C7" s="332"/>
      <c r="D7" s="331" t="s">
        <v>169</v>
      </c>
      <c r="E7" s="332"/>
      <c r="F7" s="334" t="s">
        <v>170</v>
      </c>
      <c r="G7" s="332"/>
      <c r="H7" s="460" t="s">
        <v>171</v>
      </c>
      <c r="I7" s="464">
        <v>1</v>
      </c>
    </row>
    <row r="8" spans="1:10">
      <c r="A8" s="335" t="s">
        <v>172</v>
      </c>
      <c r="B8" s="465" t="s">
        <v>73</v>
      </c>
      <c r="C8" s="173">
        <f>Loan_Amount</f>
        <v>0</v>
      </c>
      <c r="D8" s="466" t="s">
        <v>173</v>
      </c>
      <c r="E8" s="173">
        <f>Credit_Card_Limit</f>
        <v>0</v>
      </c>
      <c r="F8" s="467" t="s">
        <v>73</v>
      </c>
      <c r="G8" s="173">
        <f>Loan_Amount</f>
        <v>0</v>
      </c>
    </row>
    <row r="9" spans="1:10">
      <c r="A9" s="336"/>
      <c r="B9" s="465" t="s">
        <v>174</v>
      </c>
      <c r="C9" s="468">
        <f>Loan_Interest_Rate</f>
        <v>0</v>
      </c>
      <c r="F9" s="467" t="s">
        <v>174</v>
      </c>
      <c r="G9" s="469">
        <f>NSRInterestRate</f>
        <v>7.5000000000000011E-2</v>
      </c>
    </row>
    <row r="10" spans="1:10">
      <c r="A10" s="336"/>
      <c r="B10" s="470" t="s">
        <v>104</v>
      </c>
      <c r="C10" s="464">
        <f>Loan_Term_Years</f>
        <v>0</v>
      </c>
      <c r="F10" s="467" t="s">
        <v>104</v>
      </c>
      <c r="G10" s="464">
        <f>Loan_Term_Years</f>
        <v>0</v>
      </c>
    </row>
    <row r="11" spans="1:10">
      <c r="A11" s="337"/>
      <c r="B11" s="466" t="s">
        <v>175</v>
      </c>
      <c r="C11" s="471">
        <f>(ROUNDUP(IF(AND(Loan_Amount&gt;0,Loan_Interest_Rate&gt;0,Loan_Term_Years&gt;0),-PMT(Loan_Interest_Rate/12,Loan_Term_Years*12,Loan_Amount,0,0),0),0))</f>
        <v>0</v>
      </c>
      <c r="D11" s="148" t="s">
        <v>175</v>
      </c>
      <c r="E11" s="173">
        <f>(ROUNDUP(IF(Credit_Card_Limit&gt;0,MAX((Credit_Card_Limit*IF(Credit_Card_Brand_Choice="Amigo",Credit_Card_Monthly_Percent_Amigo,Credit_Card_Monthly_Payment_Percent)),20),0),0))</f>
        <v>0</v>
      </c>
      <c r="F11" s="472" t="s">
        <v>175</v>
      </c>
      <c r="G11" s="173">
        <f>ROUNDUP(IF(AND(OR(Credit_Card_Limit&gt;0,Loan_Amount&gt;0),Loan_Interest_Rate&gt;0,Loan_Term_Years&gt;0),(-PMT(NSRInterestRate/12,Loan_Term_Years*12,Loan_Amount,0,0)),0),0)+Credit_Card_Monthly_Payment</f>
        <v>0</v>
      </c>
    </row>
    <row r="13" spans="1:10">
      <c r="C13" s="191" t="s">
        <v>100</v>
      </c>
      <c r="D13" s="191" t="s">
        <v>176</v>
      </c>
      <c r="E13" s="191" t="s">
        <v>177</v>
      </c>
    </row>
    <row r="14" spans="1:10">
      <c r="A14" s="329" t="s">
        <v>178</v>
      </c>
      <c r="B14" s="330"/>
      <c r="C14" s="192">
        <f>Credit_Card_Monthly_Percent</f>
        <v>3.2000000000000001E-2</v>
      </c>
      <c r="D14" s="192">
        <f>Credit_Card_Monthly_Percent_Amigo</f>
        <v>3.5000000000000003E-2</v>
      </c>
      <c r="E14" s="192">
        <f>Credit_Card_Monthly_Percent_OtherBanks</f>
        <v>3.7499999999999999E-2</v>
      </c>
    </row>
    <row r="15" spans="1:10" ht="13.9">
      <c r="A15" s="329" t="s">
        <v>179</v>
      </c>
      <c r="B15" s="330"/>
      <c r="C15" s="473">
        <f>RentalAllowance</f>
        <v>0.8</v>
      </c>
      <c r="G15" s="183" t="s">
        <v>180</v>
      </c>
      <c r="H15" s="473">
        <f>CompanyRentalAllowance</f>
        <v>0.6</v>
      </c>
    </row>
    <row r="16" spans="1:10">
      <c r="A16" s="333" t="s">
        <v>181</v>
      </c>
      <c r="B16" s="330"/>
      <c r="C16" s="473">
        <f>Overtime_Haircut</f>
        <v>0.2</v>
      </c>
    </row>
    <row r="18" spans="1:9" s="14" customFormat="1">
      <c r="A18" s="11" t="s">
        <v>182</v>
      </c>
      <c r="B18" s="12" t="s">
        <v>125</v>
      </c>
      <c r="C18" s="12" t="s">
        <v>126</v>
      </c>
      <c r="D18" s="12" t="s">
        <v>127</v>
      </c>
      <c r="E18" s="12" t="s">
        <v>128</v>
      </c>
      <c r="F18" s="12" t="s">
        <v>129</v>
      </c>
      <c r="G18" s="13" t="s">
        <v>130</v>
      </c>
      <c r="H18" s="12" t="s">
        <v>183</v>
      </c>
      <c r="I18" s="12" t="s">
        <v>49</v>
      </c>
    </row>
    <row r="19" spans="1:9">
      <c r="A19" s="17" t="s">
        <v>184</v>
      </c>
      <c r="B19" s="16">
        <f>Applicant1_GIncome</f>
        <v>0</v>
      </c>
      <c r="C19" s="16">
        <f>Applicant2_GIncome</f>
        <v>0</v>
      </c>
      <c r="D19" s="16">
        <f>Applicant3_GIncome</f>
        <v>0</v>
      </c>
      <c r="E19" s="16">
        <f>Applicant4_GIncome</f>
        <v>0</v>
      </c>
      <c r="F19" s="16">
        <f>Applicant5_GIncome</f>
        <v>0</v>
      </c>
      <c r="G19" s="16">
        <f>Applicant6_GIncome</f>
        <v>0</v>
      </c>
      <c r="H19" s="16"/>
      <c r="I19" s="16"/>
    </row>
    <row r="20" spans="1:9">
      <c r="A20" s="17" t="s">
        <v>185</v>
      </c>
      <c r="B20" s="16" t="str">
        <f>IF(Applicant1_IncFreq="","",VLOOKUP(Applicant1_IncFreq,Payment_Frequency_Multiples,2,FALSE))</f>
        <v/>
      </c>
      <c r="C20" s="16" t="str">
        <f>IF(Applicant2_IncFreq="","",VLOOKUP(Applicant2_IncFreq,Payment_Frequency_Multiples,2,FALSE))</f>
        <v/>
      </c>
      <c r="D20" s="16" t="str">
        <f>IF(Applicant3_IncFreq="","",VLOOKUP(Applicant3_IncFreq,Payment_Frequency_Multiples,2,FALSE))</f>
        <v/>
      </c>
      <c r="E20" s="16" t="str">
        <f>IF(Applicant4_IncFreq="","",VLOOKUP(Applicant4_IncFreq,Payment_Frequency_Multiples,2,FALSE))</f>
        <v/>
      </c>
      <c r="F20" s="16" t="str">
        <f>IF(Applicant5_IncFreq="","",VLOOKUP(Applicant5_IncFreq,Payment_Frequency_Multiples,2,FALSE))</f>
        <v/>
      </c>
      <c r="G20" s="16" t="str">
        <f>IF(Applicant6_IncFreq="","",VLOOKUP(Applicant6_IncFreq,Payment_Frequency_Multiples,2,FALSE))</f>
        <v/>
      </c>
      <c r="H20" s="16"/>
      <c r="I20" s="16"/>
    </row>
    <row r="21" spans="1:9">
      <c r="A21" s="17" t="s">
        <v>186</v>
      </c>
      <c r="B21" s="16">
        <f>IF(Applicant1_IncFreq="",0,B19*B20)</f>
        <v>0</v>
      </c>
      <c r="C21" s="16">
        <f>IF(Applicant2_IncFreq="",0,C19*C20)</f>
        <v>0</v>
      </c>
      <c r="D21" s="16">
        <f>IF(Applicant3_IncFreq="",0,D19*D20)</f>
        <v>0</v>
      </c>
      <c r="E21" s="16">
        <f>IF(Applicant4_IncFreq="",0,E19*E20)</f>
        <v>0</v>
      </c>
      <c r="F21" s="16">
        <f>IF(Applicant5_IncFreq="",0,F19*F20)</f>
        <v>0</v>
      </c>
      <c r="G21" s="16">
        <f>IF(Applicant6_IncFreq="",0,G19*G20)</f>
        <v>0</v>
      </c>
      <c r="H21" s="16">
        <f>(Company_NPBT_GAIncome+Company_NPBT_GAIncomePY)/2</f>
        <v>0</v>
      </c>
      <c r="I21" s="16">
        <f>SUM(B21:H21)</f>
        <v>0</v>
      </c>
    </row>
    <row r="22" spans="1:9">
      <c r="A22" s="17" t="s">
        <v>187</v>
      </c>
      <c r="B22" s="173">
        <f>IF(Appl_Annual_Income_inc_Overtime_1&gt;B21,(Appl_Annual_Income_inc_Overtime_1-B21)*(1-Overtime_Haircut),0)</f>
        <v>0</v>
      </c>
      <c r="C22" s="16">
        <f>IF(Appl_Annual_Income_inc_Overtime_2&gt;C21,(Appl_Annual_Income_inc_Overtime_2-C21)*(1-Overtime_Haircut),0)</f>
        <v>0</v>
      </c>
      <c r="D22" s="16">
        <f>IF(Appl_Annual_Income_inc_Overtime_3&gt;D21,(Appl_Annual_Income_inc_Overtime_3-D21)*(1-Overtime_Haircut),0)</f>
        <v>0</v>
      </c>
      <c r="E22" s="16">
        <f>IF(Appl_Annual_Income_inc_Overtime_4&gt;E21,(Appl_Annual_Income_inc_Overtime_4-E21)*(1-Overtime_Haircut),0)</f>
        <v>0</v>
      </c>
      <c r="F22" s="16">
        <f>IF(Appl_Annual_Income_inc_Overtime_5&gt;F21,(Appl_Annual_Income_inc_Overtime_5-F21)*(1-Overtime_Haircut),0)</f>
        <v>0</v>
      </c>
      <c r="G22" s="16">
        <f>IF(Appl_Annual_Income_inc_Overtime_6&gt;G21,(Appl_Annual_Income_inc_Overtime_6-G21)*(1-Overtime_Haircut),0)</f>
        <v>0</v>
      </c>
      <c r="H22" s="16"/>
      <c r="I22" s="16"/>
    </row>
    <row r="23" spans="1:9">
      <c r="A23" s="15" t="s">
        <v>119</v>
      </c>
      <c r="B23" s="16">
        <f>SUM(B21:B22)</f>
        <v>0</v>
      </c>
      <c r="C23" s="16">
        <f t="shared" ref="C23:H23" si="0">SUM(C21:C22)</f>
        <v>0</v>
      </c>
      <c r="D23" s="16">
        <f t="shared" si="0"/>
        <v>0</v>
      </c>
      <c r="E23" s="16">
        <f t="shared" si="0"/>
        <v>0</v>
      </c>
      <c r="F23" s="16">
        <f t="shared" si="0"/>
        <v>0</v>
      </c>
      <c r="G23" s="16">
        <f t="shared" si="0"/>
        <v>0</v>
      </c>
      <c r="H23" s="16">
        <f t="shared" si="0"/>
        <v>0</v>
      </c>
      <c r="I23" s="16">
        <f>SUM(B23:H23)</f>
        <v>0</v>
      </c>
    </row>
    <row r="24" spans="1:9">
      <c r="A24" s="15" t="str">
        <f>+TEXT(RentalAllowance,"##0.00%")&amp;" Gross Annual Rental Income"</f>
        <v>80.00% Gross Annual Rental Income</v>
      </c>
      <c r="B24" s="16">
        <f>ROUND(Applicant1_GARental*RentalAllowance,0)</f>
        <v>0</v>
      </c>
      <c r="C24" s="16">
        <f>ROUND(Applicant2_GARental*RentalAllowance,0)</f>
        <v>0</v>
      </c>
      <c r="D24" s="16">
        <f>ROUND(Applicant3_GARental*RentalAllowance,0)</f>
        <v>0</v>
      </c>
      <c r="E24" s="16">
        <f>ROUND(Applicant4_GARental*RentalAllowance,0)</f>
        <v>0</v>
      </c>
      <c r="F24" s="16">
        <f>ROUND(Applicant5_GARental*RentalAllowance,0)</f>
        <v>0</v>
      </c>
      <c r="G24" s="16">
        <f>ROUND(Applicant6_GARental*RentalAllowance,0)</f>
        <v>0</v>
      </c>
      <c r="H24" s="16">
        <f>ROUND(Company_NPBT_GARental*CompanyRentalAllowance,0)</f>
        <v>0</v>
      </c>
      <c r="I24" s="16">
        <f>SUM(B24:H24)</f>
        <v>0</v>
      </c>
    </row>
    <row r="25" spans="1:9">
      <c r="A25" s="17" t="s">
        <v>188</v>
      </c>
      <c r="B25" s="173">
        <f t="shared" ref="B25:H25" si="1">SUM(B23:B24)</f>
        <v>0</v>
      </c>
      <c r="C25" s="173">
        <f t="shared" si="1"/>
        <v>0</v>
      </c>
      <c r="D25" s="173">
        <f t="shared" si="1"/>
        <v>0</v>
      </c>
      <c r="E25" s="173">
        <f t="shared" si="1"/>
        <v>0</v>
      </c>
      <c r="F25" s="173">
        <f t="shared" si="1"/>
        <v>0</v>
      </c>
      <c r="G25" s="173">
        <f t="shared" si="1"/>
        <v>0</v>
      </c>
      <c r="H25" s="16">
        <f t="shared" si="1"/>
        <v>0</v>
      </c>
      <c r="I25" s="173">
        <f>SUM(B25:H25)</f>
        <v>0</v>
      </c>
    </row>
    <row r="26" spans="1:9">
      <c r="A26" s="17"/>
      <c r="B26" s="18"/>
      <c r="C26" s="18"/>
      <c r="D26" s="18"/>
      <c r="E26" s="18"/>
      <c r="F26" s="18"/>
      <c r="G26" s="18"/>
      <c r="H26" s="16"/>
      <c r="I26" s="18"/>
    </row>
    <row r="27" spans="1:9">
      <c r="A27" s="17" t="s">
        <v>189</v>
      </c>
      <c r="B27" s="19">
        <f>IF(Main!$F$40&gt;0,ROUND(B24/(Main!$F$40*RentalAllowance),4),0)</f>
        <v>0</v>
      </c>
      <c r="C27" s="19">
        <f>IF(Main!$F$40&gt;0,ROUND(C24/(Main!$F$40*RentalAllowance),4),0)</f>
        <v>0</v>
      </c>
      <c r="D27" s="19">
        <f>IF(Main!$F$40&gt;0,ROUND(D24/(Main!$F$40*RentalAllowance),4),0)</f>
        <v>0</v>
      </c>
      <c r="E27" s="19">
        <f>IF(Main!$F$40&gt;0,ROUND(E24/(Main!$F$40*RentalAllowance),4),0)</f>
        <v>0</v>
      </c>
      <c r="F27" s="19">
        <f>IF(Main!$F$40&gt;0,ROUND(F24/(Main!$F$40*RentalAllowance),4),0)</f>
        <v>0</v>
      </c>
      <c r="G27" s="19">
        <f>IF(Main!$F$40&gt;0,ROUND(G24/(Main!$F$40*RentalAllowance),4),0)</f>
        <v>0</v>
      </c>
      <c r="H27" s="19">
        <f>IF(Main!$F$40&gt;0,ROUND(H24/(Main!$F$40*CompanyRentalAllowance),4),0)</f>
        <v>0</v>
      </c>
      <c r="I27" s="19">
        <f>SUM(B27:H27)</f>
        <v>0</v>
      </c>
    </row>
    <row r="28" spans="1:9">
      <c r="A28" s="15"/>
      <c r="B28" s="16"/>
      <c r="C28" s="16"/>
      <c r="D28" s="16"/>
      <c r="E28" s="16"/>
      <c r="F28" s="16"/>
      <c r="G28" s="16"/>
      <c r="H28" s="16"/>
      <c r="I28" s="16"/>
    </row>
    <row r="29" spans="1:9">
      <c r="A29" s="43" t="s">
        <v>190</v>
      </c>
      <c r="B29" s="474">
        <f>IF(B24&gt;0,ROUND(IPMT(Loan_Interest_Rate,1,Loan_Term_Years*12,Main!$B$8*B27,0,0),0),0)</f>
        <v>0</v>
      </c>
      <c r="C29" s="474">
        <f>IF(C24&gt;0,ROUND(IPMT(Loan_Interest_Rate,1,Loan_Term_Years*12,Main!$B$8*C27,0,0),0),0)</f>
        <v>0</v>
      </c>
      <c r="D29" s="474">
        <f>IF(D24&gt;0,ROUND(IPMT(Loan_Interest_Rate,1,Loan_Term_Years*12,Main!$B$8*D27,0,0),0),0)</f>
        <v>0</v>
      </c>
      <c r="E29" s="474">
        <f>IF(E24&gt;0,ROUND(IPMT(Loan_Interest_Rate,1,Loan_Term_Years*12,Main!$B$8*E27,0,0),0),0)</f>
        <v>0</v>
      </c>
      <c r="F29" s="474">
        <f>IF(F24&gt;0,ROUND(IPMT(Loan_Interest_Rate,1,Loan_Term_Years*12,Main!$B$8*F27,0,0),0),0)</f>
        <v>0</v>
      </c>
      <c r="G29" s="474">
        <f>IF(G24&gt;0,ROUND(IPMT(Loan_Interest_Rate,1,Loan_Term_Years*12,Main!$B$8*G27,0,0),0),0)</f>
        <v>0</v>
      </c>
      <c r="H29" s="474">
        <f>IF(H24&gt;0,ROUND(IPMT(Loan_Interest_Rate,1,Loan_Term_Years*12,Main!$B$8*H27,0,0),0),0)</f>
        <v>0</v>
      </c>
      <c r="I29" s="474">
        <f>SUM(B29:H29)</f>
        <v>0</v>
      </c>
    </row>
    <row r="30" spans="1:9">
      <c r="A30" s="43" t="s">
        <v>191</v>
      </c>
      <c r="B30" s="474">
        <f>IF(B24&gt;0,ROUND(MAX(-Other_Loans_Inv_Payment*12*B27,IPMT(Loan_Interest_Rate,1,30,Other_Loans_Inv_Amount*B27,0,0)),0),0)</f>
        <v>0</v>
      </c>
      <c r="C30" s="474">
        <f>IF(C24&gt;0,ROUND(MAX(-Other_Loans_Inv_Payment*12*C27,IPMT(Loan_Interest_Rate,1,30,Other_Loans_Inv_Amount*C27,0,0)),0),0)</f>
        <v>0</v>
      </c>
      <c r="D30" s="474">
        <f t="shared" ref="D30:H30" si="2">IF(D24&gt;0,ROUND(MAX(-Other_Loans_Inv_Payment*12*D27,IPMT(Loan_Interest_Rate,1,30,Other_Loans_Inv_Amount*D27,0,0)),0),0)</f>
        <v>0</v>
      </c>
      <c r="E30" s="474">
        <f t="shared" si="2"/>
        <v>0</v>
      </c>
      <c r="F30" s="474">
        <f t="shared" si="2"/>
        <v>0</v>
      </c>
      <c r="G30" s="474">
        <f t="shared" si="2"/>
        <v>0</v>
      </c>
      <c r="H30" s="474">
        <f t="shared" si="2"/>
        <v>0</v>
      </c>
      <c r="I30" s="474">
        <f>SUM(B30:H30)</f>
        <v>0</v>
      </c>
    </row>
    <row r="31" spans="1:9">
      <c r="A31" s="17"/>
      <c r="B31" s="475"/>
      <c r="C31" s="475"/>
      <c r="D31" s="475"/>
      <c r="E31" s="475"/>
      <c r="F31" s="475"/>
      <c r="G31" s="475"/>
      <c r="H31" s="16"/>
      <c r="I31" s="475"/>
    </row>
    <row r="32" spans="1:9">
      <c r="A32" s="15" t="s">
        <v>192</v>
      </c>
      <c r="B32" s="16">
        <f>B25-B24</f>
        <v>0</v>
      </c>
      <c r="C32" s="16">
        <f t="shared" ref="C32:I32" si="3">C25-C24</f>
        <v>0</v>
      </c>
      <c r="D32" s="16">
        <f t="shared" si="3"/>
        <v>0</v>
      </c>
      <c r="E32" s="16">
        <f t="shared" si="3"/>
        <v>0</v>
      </c>
      <c r="F32" s="16">
        <f t="shared" si="3"/>
        <v>0</v>
      </c>
      <c r="G32" s="16">
        <f t="shared" si="3"/>
        <v>0</v>
      </c>
      <c r="H32" s="16">
        <f t="shared" si="3"/>
        <v>0</v>
      </c>
      <c r="I32" s="16">
        <f t="shared" si="3"/>
        <v>0</v>
      </c>
    </row>
    <row r="33" spans="1:9">
      <c r="A33" s="15"/>
      <c r="B33" s="16"/>
      <c r="C33" s="16"/>
      <c r="D33" s="16"/>
      <c r="E33" s="16"/>
      <c r="F33" s="16"/>
      <c r="G33" s="16"/>
      <c r="H33" s="16"/>
      <c r="I33" s="16"/>
    </row>
    <row r="34" spans="1:9">
      <c r="A34" s="15" t="s">
        <v>193</v>
      </c>
      <c r="B34" s="16">
        <f t="shared" ref="B34:G34" si="4">IF(B32&gt;0,VLOOKUP(B32,TaxScales,1),0)</f>
        <v>0</v>
      </c>
      <c r="C34" s="16">
        <f t="shared" si="4"/>
        <v>0</v>
      </c>
      <c r="D34" s="16">
        <f t="shared" si="4"/>
        <v>0</v>
      </c>
      <c r="E34" s="16">
        <f t="shared" si="4"/>
        <v>0</v>
      </c>
      <c r="F34" s="16">
        <f t="shared" si="4"/>
        <v>0</v>
      </c>
      <c r="G34" s="16">
        <f t="shared" si="4"/>
        <v>0</v>
      </c>
      <c r="H34" s="20" t="s">
        <v>194</v>
      </c>
      <c r="I34" s="16">
        <f>SUM(B34:H34)</f>
        <v>0</v>
      </c>
    </row>
    <row r="35" spans="1:9">
      <c r="A35" s="15" t="s">
        <v>195</v>
      </c>
      <c r="B35" s="16">
        <f t="shared" ref="B35:G35" si="5">IF(B32&gt;0,VLOOKUP(B32,TaxScales,2),0)</f>
        <v>0</v>
      </c>
      <c r="C35" s="16">
        <f t="shared" si="5"/>
        <v>0</v>
      </c>
      <c r="D35" s="16">
        <f t="shared" si="5"/>
        <v>0</v>
      </c>
      <c r="E35" s="16">
        <f t="shared" si="5"/>
        <v>0</v>
      </c>
      <c r="F35" s="16">
        <f t="shared" si="5"/>
        <v>0</v>
      </c>
      <c r="G35" s="16">
        <f t="shared" si="5"/>
        <v>0</v>
      </c>
      <c r="H35" s="20" t="s">
        <v>194</v>
      </c>
      <c r="I35" s="16">
        <f>SUM(B35:H35)</f>
        <v>0</v>
      </c>
    </row>
    <row r="36" spans="1:9">
      <c r="A36" s="15" t="s">
        <v>196</v>
      </c>
      <c r="B36" s="16">
        <f t="shared" ref="B36:G36" si="6">IF(B32&gt;0,B32-B34,0)</f>
        <v>0</v>
      </c>
      <c r="C36" s="16">
        <f t="shared" si="6"/>
        <v>0</v>
      </c>
      <c r="D36" s="16">
        <f t="shared" si="6"/>
        <v>0</v>
      </c>
      <c r="E36" s="16">
        <f t="shared" si="6"/>
        <v>0</v>
      </c>
      <c r="F36" s="16">
        <f t="shared" si="6"/>
        <v>0</v>
      </c>
      <c r="G36" s="16">
        <f t="shared" si="6"/>
        <v>0</v>
      </c>
      <c r="H36" s="20" t="s">
        <v>194</v>
      </c>
      <c r="I36" s="16">
        <f>SUM(B36:H36)</f>
        <v>0</v>
      </c>
    </row>
    <row r="37" spans="1:9">
      <c r="A37" s="15" t="s">
        <v>197</v>
      </c>
      <c r="B37" s="19">
        <f t="shared" ref="B37:G37" si="7">IF(B32&gt;0,VLOOKUP(B32,TaxScales,3),0)</f>
        <v>0</v>
      </c>
      <c r="C37" s="19">
        <f t="shared" si="7"/>
        <v>0</v>
      </c>
      <c r="D37" s="19">
        <f t="shared" si="7"/>
        <v>0</v>
      </c>
      <c r="E37" s="19">
        <f t="shared" si="7"/>
        <v>0</v>
      </c>
      <c r="F37" s="19">
        <f t="shared" si="7"/>
        <v>0</v>
      </c>
      <c r="G37" s="19">
        <f t="shared" si="7"/>
        <v>0</v>
      </c>
      <c r="H37" s="21">
        <f>CompanyTaxRate</f>
        <v>0.3</v>
      </c>
      <c r="I37" s="20" t="s">
        <v>194</v>
      </c>
    </row>
    <row r="38" spans="1:9">
      <c r="A38" s="15" t="s">
        <v>198</v>
      </c>
      <c r="B38" s="16">
        <f t="shared" ref="B38:G38" si="8">IF(B32&gt;0,ROUND(B36*B37,2),0)</f>
        <v>0</v>
      </c>
      <c r="C38" s="16">
        <f t="shared" si="8"/>
        <v>0</v>
      </c>
      <c r="D38" s="16">
        <f t="shared" si="8"/>
        <v>0</v>
      </c>
      <c r="E38" s="16">
        <f t="shared" si="8"/>
        <v>0</v>
      </c>
      <c r="F38" s="16">
        <f t="shared" si="8"/>
        <v>0</v>
      </c>
      <c r="G38" s="16">
        <f t="shared" si="8"/>
        <v>0</v>
      </c>
      <c r="H38" s="22" t="s">
        <v>194</v>
      </c>
      <c r="I38" s="16">
        <f>SUM(B38:H38)</f>
        <v>0</v>
      </c>
    </row>
    <row r="39" spans="1:9">
      <c r="A39" s="15" t="s">
        <v>199</v>
      </c>
      <c r="B39" s="16">
        <f t="shared" ref="B39:G39" si="9">IF(B32&gt;0,ROUND(B35+B38,0),0)</f>
        <v>0</v>
      </c>
      <c r="C39" s="16">
        <f t="shared" si="9"/>
        <v>0</v>
      </c>
      <c r="D39" s="16">
        <f t="shared" si="9"/>
        <v>0</v>
      </c>
      <c r="E39" s="16">
        <f t="shared" si="9"/>
        <v>0</v>
      </c>
      <c r="F39" s="16">
        <f t="shared" si="9"/>
        <v>0</v>
      </c>
      <c r="G39" s="16">
        <f t="shared" si="9"/>
        <v>0</v>
      </c>
      <c r="H39" s="16">
        <f>IF(H32&gt;0,ROUND(H32*H37,0),0)</f>
        <v>0</v>
      </c>
      <c r="I39" s="16">
        <f>SUM(B39:H39)</f>
        <v>0</v>
      </c>
    </row>
    <row r="40" spans="1:9">
      <c r="A40" s="15" t="s">
        <v>200</v>
      </c>
      <c r="B40" s="16">
        <f t="shared" ref="B40:G40" si="10">IF(B32&gt;Min_TaxableIncome,ROUND(B32*MedicareLevyRate,0),0)</f>
        <v>0</v>
      </c>
      <c r="C40" s="16">
        <f t="shared" si="10"/>
        <v>0</v>
      </c>
      <c r="D40" s="16">
        <f t="shared" si="10"/>
        <v>0</v>
      </c>
      <c r="E40" s="16">
        <f t="shared" si="10"/>
        <v>0</v>
      </c>
      <c r="F40" s="16">
        <f t="shared" si="10"/>
        <v>0</v>
      </c>
      <c r="G40" s="16">
        <f t="shared" si="10"/>
        <v>0</v>
      </c>
      <c r="H40" s="20" t="s">
        <v>194</v>
      </c>
      <c r="I40" s="16">
        <f>SUM(B40:H40)</f>
        <v>0</v>
      </c>
    </row>
    <row r="41" spans="1:9">
      <c r="A41" s="15" t="s">
        <v>201</v>
      </c>
      <c r="B41" s="16">
        <f t="shared" ref="B41:G41" si="11">ROUND(B39+B40,0)</f>
        <v>0</v>
      </c>
      <c r="C41" s="16">
        <f t="shared" si="11"/>
        <v>0</v>
      </c>
      <c r="D41" s="16">
        <f t="shared" si="11"/>
        <v>0</v>
      </c>
      <c r="E41" s="16">
        <f t="shared" si="11"/>
        <v>0</v>
      </c>
      <c r="F41" s="16">
        <f t="shared" si="11"/>
        <v>0</v>
      </c>
      <c r="G41" s="16">
        <f t="shared" si="11"/>
        <v>0</v>
      </c>
      <c r="H41" s="20" t="s">
        <v>194</v>
      </c>
      <c r="I41" s="16">
        <f>SUM(B41:H41)</f>
        <v>0</v>
      </c>
    </row>
    <row r="42" spans="1:9">
      <c r="A42" s="15" t="s">
        <v>202</v>
      </c>
      <c r="B42" s="16">
        <f t="shared" ref="B42:G42" si="12">ROUND(B25-B41,0)</f>
        <v>0</v>
      </c>
      <c r="C42" s="16">
        <f t="shared" si="12"/>
        <v>0</v>
      </c>
      <c r="D42" s="16">
        <f t="shared" si="12"/>
        <v>0</v>
      </c>
      <c r="E42" s="16">
        <f t="shared" si="12"/>
        <v>0</v>
      </c>
      <c r="F42" s="16">
        <f t="shared" si="12"/>
        <v>0</v>
      </c>
      <c r="G42" s="16">
        <f t="shared" si="12"/>
        <v>0</v>
      </c>
      <c r="H42" s="16">
        <f>ROUND(H25-H39,0)</f>
        <v>0</v>
      </c>
      <c r="I42" s="16">
        <f>SUM(B42:H42)</f>
        <v>0</v>
      </c>
    </row>
    <row r="43" spans="1:9">
      <c r="A43" s="15" t="s">
        <v>203</v>
      </c>
      <c r="B43" s="16">
        <f>B42/12</f>
        <v>0</v>
      </c>
      <c r="C43" s="16">
        <f t="shared" ref="C43:G43" si="13">C42/12</f>
        <v>0</v>
      </c>
      <c r="D43" s="16">
        <f t="shared" si="13"/>
        <v>0</v>
      </c>
      <c r="E43" s="16">
        <f t="shared" si="13"/>
        <v>0</v>
      </c>
      <c r="F43" s="16">
        <f t="shared" si="13"/>
        <v>0</v>
      </c>
      <c r="G43" s="16">
        <f t="shared" si="13"/>
        <v>0</v>
      </c>
      <c r="H43" s="16">
        <f t="shared" ref="H43" si="14">H42/12</f>
        <v>0</v>
      </c>
      <c r="I43" s="16">
        <f t="shared" ref="I43" si="15">I42/12</f>
        <v>0</v>
      </c>
    </row>
    <row r="44" spans="1:9">
      <c r="B44" s="30"/>
      <c r="C44" s="31"/>
    </row>
    <row r="45" spans="1:9" ht="13.9" thickBot="1">
      <c r="A45" s="28" t="s">
        <v>204</v>
      </c>
      <c r="B45" s="28"/>
      <c r="D45" s="25"/>
      <c r="E45" s="25"/>
      <c r="F45" s="25"/>
      <c r="G45" s="25"/>
    </row>
    <row r="46" spans="1:9" ht="13.9" thickBot="1">
      <c r="A46" s="29">
        <f>IF(Total_Gross_Annual_Income=0,0,INDEX(Calculated_Living_Expense_Table,MATCH((Total_Gross_Annual_Income-I24),Gross_Annual_Income_Bands,1),MATCH(Main!B6,Applicant_Type,0)))</f>
        <v>0</v>
      </c>
      <c r="B46" s="33"/>
      <c r="D46" s="25"/>
      <c r="E46" s="25"/>
      <c r="F46" s="25"/>
      <c r="G46" s="25"/>
    </row>
    <row r="47" spans="1:9">
      <c r="A47" s="25"/>
      <c r="B47" s="25"/>
      <c r="C47" s="25"/>
      <c r="D47" s="25"/>
      <c r="E47" s="25"/>
      <c r="F47" s="25"/>
      <c r="G47" s="25"/>
    </row>
    <row r="48" spans="1:9">
      <c r="A48" s="25" t="s">
        <v>205</v>
      </c>
      <c r="B48" s="25"/>
      <c r="C48" s="25"/>
      <c r="D48" s="25"/>
      <c r="E48" s="25"/>
      <c r="F48" s="25"/>
      <c r="G48" s="25"/>
    </row>
    <row r="49" spans="1:19">
      <c r="A49" s="27" t="str">
        <f>'HEM Data'!A1&amp;" - "&amp;TEXT('HEM Data'!B1,"mmm yyyy")</f>
        <v>HEM DATA - Q4 2024</v>
      </c>
      <c r="B49" s="24"/>
      <c r="C49" s="24"/>
      <c r="D49" s="24"/>
      <c r="E49" s="24"/>
      <c r="F49" s="24"/>
      <c r="G49" s="24"/>
      <c r="H49" s="24"/>
      <c r="I49" s="24"/>
      <c r="J49" s="24"/>
      <c r="K49" s="24"/>
      <c r="L49" s="24"/>
      <c r="M49" s="24"/>
      <c r="N49" s="24"/>
      <c r="O49" s="24"/>
      <c r="P49" s="24"/>
      <c r="Q49" s="24"/>
      <c r="R49" s="24"/>
      <c r="S49" s="24"/>
    </row>
    <row r="50" spans="1:19">
      <c r="A50" s="25"/>
      <c r="B50" s="25"/>
      <c r="C50" s="25"/>
      <c r="D50" s="25"/>
      <c r="E50" s="25"/>
      <c r="F50"/>
      <c r="G50"/>
      <c r="H50"/>
      <c r="I50"/>
      <c r="J50"/>
      <c r="K50"/>
      <c r="L50"/>
      <c r="M50"/>
      <c r="N50"/>
      <c r="O50"/>
      <c r="P50"/>
      <c r="Q50"/>
      <c r="R50"/>
      <c r="S50"/>
    </row>
    <row r="51" spans="1:19" ht="39.950000000000003" customHeight="1">
      <c r="A51" s="161" t="s">
        <v>184</v>
      </c>
      <c r="B51" s="162" t="s">
        <v>206</v>
      </c>
      <c r="C51" s="162" t="s">
        <v>207</v>
      </c>
      <c r="D51" s="163" t="s">
        <v>208</v>
      </c>
      <c r="E51" s="163" t="s">
        <v>209</v>
      </c>
      <c r="F51" s="163" t="s">
        <v>210</v>
      </c>
      <c r="G51" s="163" t="s">
        <v>211</v>
      </c>
      <c r="H51" s="163" t="s">
        <v>212</v>
      </c>
      <c r="I51" s="163" t="s">
        <v>213</v>
      </c>
      <c r="J51" s="163" t="s">
        <v>214</v>
      </c>
      <c r="K51" s="163" t="s">
        <v>215</v>
      </c>
      <c r="L51" s="163" t="s">
        <v>216</v>
      </c>
      <c r="M51" s="163" t="s">
        <v>217</v>
      </c>
      <c r="N51" s="163" t="s">
        <v>218</v>
      </c>
      <c r="O51" s="163" t="s">
        <v>219</v>
      </c>
      <c r="P51" s="163" t="s">
        <v>220</v>
      </c>
      <c r="Q51" s="163" t="s">
        <v>221</v>
      </c>
      <c r="R51" s="163" t="s">
        <v>222</v>
      </c>
      <c r="S51" s="163" t="s">
        <v>223</v>
      </c>
    </row>
    <row r="52" spans="1:19" ht="14.45">
      <c r="A52" s="164">
        <f>'HEM Data'!B2</f>
        <v>0</v>
      </c>
      <c r="B52" s="160">
        <f>ROUND('HEM Data'!$B$8,0)</f>
        <v>1338</v>
      </c>
      <c r="C52" s="160">
        <f>ROUND('HEM Data'!$B$3,0)</f>
        <v>2579</v>
      </c>
      <c r="D52" s="160">
        <f>ROUND('HEM Data'!$B$4,0)</f>
        <v>2579</v>
      </c>
      <c r="E52" s="160">
        <f>ROUND('HEM Data'!$B$5,0)</f>
        <v>2579</v>
      </c>
      <c r="F52" s="160">
        <f>ROUND('HEM Data'!$B$6,0)</f>
        <v>2579</v>
      </c>
      <c r="G52" s="160">
        <f>ROUND('HEM Data'!$B$6,0)</f>
        <v>2579</v>
      </c>
      <c r="H52" s="160">
        <f>ROUND('HEM Data'!$B$6,0)</f>
        <v>2579</v>
      </c>
      <c r="I52" s="160">
        <f>ROUND('HEM Data'!$B$6,0)</f>
        <v>2579</v>
      </c>
      <c r="J52" s="160">
        <f>ROUND('HEM Data'!$B$6,0)</f>
        <v>2579</v>
      </c>
      <c r="K52" s="160">
        <f>ROUND('HEM Data'!$B$6,0)</f>
        <v>2579</v>
      </c>
      <c r="L52" s="160">
        <f>ROUND('HEM Data'!$B$9,0)</f>
        <v>1338</v>
      </c>
      <c r="M52" s="160">
        <f>ROUND('HEM Data'!$B$10,0)</f>
        <v>1338</v>
      </c>
      <c r="N52" s="160">
        <f>ROUND('HEM Data'!$B$11,0)</f>
        <v>1338</v>
      </c>
      <c r="O52" s="160">
        <f>ROUND('HEM Data'!$B$11,0)</f>
        <v>1338</v>
      </c>
      <c r="P52" s="160">
        <f>ROUND('HEM Data'!$B$11,0)</f>
        <v>1338</v>
      </c>
      <c r="Q52" s="160">
        <f>ROUND('HEM Data'!$B$11,0)</f>
        <v>1338</v>
      </c>
      <c r="R52" s="160">
        <f>ROUND('HEM Data'!$B$11,0)</f>
        <v>1338</v>
      </c>
      <c r="S52" s="160">
        <f>ROUND('HEM Data'!$B$11,0)</f>
        <v>1338</v>
      </c>
    </row>
    <row r="53" spans="1:19" ht="14.45">
      <c r="A53" s="164">
        <f>'HEM Data'!C2</f>
        <v>26000</v>
      </c>
      <c r="B53" s="160">
        <f>ROUND('HEM Data'!$C$8,0)</f>
        <v>1406</v>
      </c>
      <c r="C53" s="160">
        <f>ROUND('HEM Data'!$C$3,0)</f>
        <v>2579</v>
      </c>
      <c r="D53" s="160">
        <f>ROUND('HEM Data'!$C$4,0)</f>
        <v>2579</v>
      </c>
      <c r="E53" s="160">
        <f>ROUND('HEM Data'!$C$5,0)</f>
        <v>2579</v>
      </c>
      <c r="F53" s="160">
        <f>ROUND('HEM Data'!$C$6,0)</f>
        <v>2579</v>
      </c>
      <c r="G53" s="160">
        <f>ROUND('HEM Data'!$C$6,0)</f>
        <v>2579</v>
      </c>
      <c r="H53" s="160">
        <f>ROUND('HEM Data'!$C$6,0)</f>
        <v>2579</v>
      </c>
      <c r="I53" s="160">
        <f>ROUND('HEM Data'!$C$6,0)</f>
        <v>2579</v>
      </c>
      <c r="J53" s="160">
        <f>ROUND('HEM Data'!$C$6,0)</f>
        <v>2579</v>
      </c>
      <c r="K53" s="160">
        <f>ROUND('HEM Data'!$C$6,0)</f>
        <v>2579</v>
      </c>
      <c r="L53" s="160">
        <f>ROUND('HEM Data'!$C$9,0)</f>
        <v>1836</v>
      </c>
      <c r="M53" s="160">
        <f>ROUND('HEM Data'!$C$10,0)</f>
        <v>2353</v>
      </c>
      <c r="N53" s="160">
        <f>ROUND('HEM Data'!$C$11,0)</f>
        <v>2353</v>
      </c>
      <c r="O53" s="160">
        <f>ROUND('HEM Data'!$C$11,0)</f>
        <v>2353</v>
      </c>
      <c r="P53" s="160">
        <f>ROUND('HEM Data'!$C$11,0)</f>
        <v>2353</v>
      </c>
      <c r="Q53" s="160">
        <f>ROUND('HEM Data'!$C$11,0)</f>
        <v>2353</v>
      </c>
      <c r="R53" s="160">
        <f>ROUND('HEM Data'!$C$11,0)</f>
        <v>2353</v>
      </c>
      <c r="S53" s="160">
        <f>ROUND('HEM Data'!$C$11,0)</f>
        <v>2353</v>
      </c>
    </row>
    <row r="54" spans="1:19" ht="14.45">
      <c r="A54" s="164">
        <v>39000</v>
      </c>
      <c r="B54" s="160">
        <f>ROUND('HEM Data'!$D$8,0)</f>
        <v>1477</v>
      </c>
      <c r="C54" s="160">
        <f>ROUND('HEM Data'!$D$3,0)</f>
        <v>2649</v>
      </c>
      <c r="D54" s="160">
        <f>ROUND('HEM Data'!$D$4,0)</f>
        <v>3023</v>
      </c>
      <c r="E54" s="160">
        <f>ROUND('HEM Data'!$D$5,0)</f>
        <v>3318</v>
      </c>
      <c r="F54" s="160">
        <f>ROUND('HEM Data'!$D$6,0)</f>
        <v>3318</v>
      </c>
      <c r="G54" s="160">
        <f>ROUND('HEM Data'!$D$6,0)</f>
        <v>3318</v>
      </c>
      <c r="H54" s="160">
        <f>ROUND('HEM Data'!$D$6,0)</f>
        <v>3318</v>
      </c>
      <c r="I54" s="160">
        <f>ROUND('HEM Data'!$D$6,0)</f>
        <v>3318</v>
      </c>
      <c r="J54" s="160">
        <f>ROUND('HEM Data'!$D$6,0)</f>
        <v>3318</v>
      </c>
      <c r="K54" s="160">
        <f>ROUND('HEM Data'!$D$6,0)</f>
        <v>3318</v>
      </c>
      <c r="L54" s="160">
        <f>ROUND('HEM Data'!$D$9,0)</f>
        <v>1906</v>
      </c>
      <c r="M54" s="160">
        <f>ROUND('HEM Data'!$D$10,0)</f>
        <v>2425</v>
      </c>
      <c r="N54" s="160">
        <f>ROUND('HEM Data'!$D$11,0)</f>
        <v>2943</v>
      </c>
      <c r="O54" s="160">
        <f>ROUND('HEM Data'!$D$11,0)</f>
        <v>2943</v>
      </c>
      <c r="P54" s="160">
        <f>ROUND('HEM Data'!$D$11,0)</f>
        <v>2943</v>
      </c>
      <c r="Q54" s="160">
        <f>ROUND('HEM Data'!$D$11,0)</f>
        <v>2943</v>
      </c>
      <c r="R54" s="160">
        <f>ROUND('HEM Data'!$D$11,0)</f>
        <v>2943</v>
      </c>
      <c r="S54" s="160">
        <f>ROUND('HEM Data'!$D$11,0)</f>
        <v>2943</v>
      </c>
    </row>
    <row r="55" spans="1:19" ht="14.45">
      <c r="A55" s="164">
        <v>52000</v>
      </c>
      <c r="B55" s="160">
        <f>ROUND('HEM Data'!$E$8,0)</f>
        <v>1588</v>
      </c>
      <c r="C55" s="160">
        <f>ROUND('HEM Data'!$E$3,0)</f>
        <v>2759</v>
      </c>
      <c r="D55" s="160">
        <f>ROUND('HEM Data'!$E$4,0)</f>
        <v>3133</v>
      </c>
      <c r="E55" s="160">
        <f>ROUND('HEM Data'!$E$5,0)</f>
        <v>3428</v>
      </c>
      <c r="F55" s="160">
        <f>ROUND('HEM Data'!$E$6,0)</f>
        <v>3778</v>
      </c>
      <c r="G55" s="160">
        <f>ROUND('HEM Data'!$E$6,0)</f>
        <v>3778</v>
      </c>
      <c r="H55" s="160">
        <f>ROUND('HEM Data'!$E$6,0)</f>
        <v>3778</v>
      </c>
      <c r="I55" s="160">
        <f>ROUND('HEM Data'!$E$6,0)</f>
        <v>3778</v>
      </c>
      <c r="J55" s="160">
        <f>ROUND('HEM Data'!$E$6,0)</f>
        <v>3778</v>
      </c>
      <c r="K55" s="160">
        <f>ROUND('HEM Data'!$E$6,0)</f>
        <v>3778</v>
      </c>
      <c r="L55" s="160">
        <f>ROUND('HEM Data'!$E$9,0)</f>
        <v>2018</v>
      </c>
      <c r="M55" s="160">
        <f>ROUND('HEM Data'!$E$10,0)</f>
        <v>2537</v>
      </c>
      <c r="N55" s="160">
        <f>ROUND('HEM Data'!$E$11,0)</f>
        <v>3056</v>
      </c>
      <c r="O55" s="160">
        <f>ROUND('HEM Data'!$E$11,0)</f>
        <v>3056</v>
      </c>
      <c r="P55" s="160">
        <f>ROUND('HEM Data'!$E$11,0)</f>
        <v>3056</v>
      </c>
      <c r="Q55" s="160">
        <f>ROUND('HEM Data'!$E$11,0)</f>
        <v>3056</v>
      </c>
      <c r="R55" s="160">
        <f>ROUND('HEM Data'!$E$11,0)</f>
        <v>3056</v>
      </c>
      <c r="S55" s="160">
        <f>ROUND('HEM Data'!$E$11,0)</f>
        <v>3056</v>
      </c>
    </row>
    <row r="56" spans="1:19" ht="14.45">
      <c r="A56" s="164">
        <v>65000</v>
      </c>
      <c r="B56" s="160">
        <f>ROUND('HEM Data'!$F$8,0)</f>
        <v>1764</v>
      </c>
      <c r="C56" s="160">
        <f>ROUND('HEM Data'!$F$3,0)</f>
        <v>2934</v>
      </c>
      <c r="D56" s="160">
        <f>ROUND('HEM Data'!$F$4,0)</f>
        <v>3308</v>
      </c>
      <c r="E56" s="160">
        <f>ROUND('HEM Data'!$F$5,0)</f>
        <v>3604</v>
      </c>
      <c r="F56" s="160">
        <f>ROUND('HEM Data'!$F$6,0)</f>
        <v>3955</v>
      </c>
      <c r="G56" s="160">
        <f>ROUND('HEM Data'!$F$6,0)</f>
        <v>3955</v>
      </c>
      <c r="H56" s="160">
        <f>ROUND('HEM Data'!$F$6,0)</f>
        <v>3955</v>
      </c>
      <c r="I56" s="160">
        <f>ROUND('HEM Data'!$F$6,0)</f>
        <v>3955</v>
      </c>
      <c r="J56" s="160">
        <f>ROUND('HEM Data'!$F$6,0)</f>
        <v>3955</v>
      </c>
      <c r="K56" s="160">
        <f>ROUND('HEM Data'!$F$6,0)</f>
        <v>3955</v>
      </c>
      <c r="L56" s="160">
        <f>ROUND('HEM Data'!$F$9,0)</f>
        <v>2195</v>
      </c>
      <c r="M56" s="160">
        <f>ROUND('HEM Data'!$F$10,0)</f>
        <v>2716</v>
      </c>
      <c r="N56" s="160">
        <f>ROUND('HEM Data'!$F$11,0)</f>
        <v>3237</v>
      </c>
      <c r="O56" s="160">
        <f>ROUND('HEM Data'!$F$11,0)</f>
        <v>3237</v>
      </c>
      <c r="P56" s="160">
        <f>ROUND('HEM Data'!$F$11,0)</f>
        <v>3237</v>
      </c>
      <c r="Q56" s="160">
        <f>ROUND('HEM Data'!$F$11,0)</f>
        <v>3237</v>
      </c>
      <c r="R56" s="160">
        <f>ROUND('HEM Data'!$F$11,0)</f>
        <v>3237</v>
      </c>
      <c r="S56" s="160">
        <f>ROUND('HEM Data'!$F$11,0)</f>
        <v>3237</v>
      </c>
    </row>
    <row r="57" spans="1:19" ht="14.45">
      <c r="A57" s="164">
        <v>77000</v>
      </c>
      <c r="B57" s="160">
        <f>ROUND('HEM Data'!$G$8,0)</f>
        <v>2028</v>
      </c>
      <c r="C57" s="160">
        <f>ROUND('HEM Data'!$G$3,0)</f>
        <v>3197</v>
      </c>
      <c r="D57" s="160">
        <f>ROUND('HEM Data'!$G$4,0)</f>
        <v>3570</v>
      </c>
      <c r="E57" s="160">
        <f>ROUND('HEM Data'!$G$5,0)</f>
        <v>3866</v>
      </c>
      <c r="F57" s="160">
        <f>ROUND('HEM Data'!$G$6,0)</f>
        <v>4221</v>
      </c>
      <c r="G57" s="160">
        <f>ROUND('HEM Data'!$G$6,0)</f>
        <v>4221</v>
      </c>
      <c r="H57" s="160">
        <f>ROUND('HEM Data'!$G$6,0)</f>
        <v>4221</v>
      </c>
      <c r="I57" s="160">
        <f>ROUND('HEM Data'!$G$6,0)</f>
        <v>4221</v>
      </c>
      <c r="J57" s="160">
        <f>ROUND('HEM Data'!$G$6,0)</f>
        <v>4221</v>
      </c>
      <c r="K57" s="160">
        <f>ROUND('HEM Data'!$G$6,0)</f>
        <v>4221</v>
      </c>
      <c r="L57" s="160">
        <f>ROUND('HEM Data'!$G$9,0)</f>
        <v>2460</v>
      </c>
      <c r="M57" s="160">
        <f>ROUND('HEM Data'!$G$10,0)</f>
        <v>2983</v>
      </c>
      <c r="N57" s="160">
        <f>ROUND('HEM Data'!$G$11,0)</f>
        <v>3506</v>
      </c>
      <c r="O57" s="160">
        <f>ROUND('HEM Data'!$G$11,0)</f>
        <v>3506</v>
      </c>
      <c r="P57" s="160">
        <f>ROUND('HEM Data'!$G$11,0)</f>
        <v>3506</v>
      </c>
      <c r="Q57" s="160">
        <f>ROUND('HEM Data'!$G$11,0)</f>
        <v>3506</v>
      </c>
      <c r="R57" s="160">
        <f>ROUND('HEM Data'!$G$11,0)</f>
        <v>3506</v>
      </c>
      <c r="S57" s="160">
        <f>ROUND('HEM Data'!$G$11,0)</f>
        <v>3506</v>
      </c>
    </row>
    <row r="58" spans="1:19" ht="14.45">
      <c r="A58" s="164">
        <v>103000</v>
      </c>
      <c r="B58" s="160">
        <f>ROUND('HEM Data'!$H$8,0)</f>
        <v>2414</v>
      </c>
      <c r="C58" s="160">
        <f>ROUND('HEM Data'!$H$3,0)</f>
        <v>3580</v>
      </c>
      <c r="D58" s="160">
        <f>ROUND('HEM Data'!$H$4,0)</f>
        <v>3953</v>
      </c>
      <c r="E58" s="160">
        <f>ROUND('HEM Data'!$H$5,0)</f>
        <v>4249</v>
      </c>
      <c r="F58" s="160">
        <f>ROUND('HEM Data'!$H$6,0)</f>
        <v>4609</v>
      </c>
      <c r="G58" s="160">
        <f>ROUND('HEM Data'!$H$6,0)</f>
        <v>4609</v>
      </c>
      <c r="H58" s="160">
        <f>ROUND('HEM Data'!$H$6,0)</f>
        <v>4609</v>
      </c>
      <c r="I58" s="160">
        <f>ROUND('HEM Data'!$H$6,0)</f>
        <v>4609</v>
      </c>
      <c r="J58" s="160">
        <f>ROUND('HEM Data'!$H$6,0)</f>
        <v>4609</v>
      </c>
      <c r="K58" s="160">
        <f>ROUND('HEM Data'!$H$6,0)</f>
        <v>4609</v>
      </c>
      <c r="L58" s="160">
        <f>ROUND('HEM Data'!$H$9,0)</f>
        <v>2848</v>
      </c>
      <c r="M58" s="160">
        <f>ROUND('HEM Data'!$H$10,0)</f>
        <v>3374</v>
      </c>
      <c r="N58" s="160">
        <f>ROUND('HEM Data'!$H$11,0)</f>
        <v>3900</v>
      </c>
      <c r="O58" s="160">
        <f>ROUND('HEM Data'!$H$11,0)</f>
        <v>3900</v>
      </c>
      <c r="P58" s="160">
        <f>ROUND('HEM Data'!$H$11,0)</f>
        <v>3900</v>
      </c>
      <c r="Q58" s="160">
        <f>ROUND('HEM Data'!$H$11,0)</f>
        <v>3900</v>
      </c>
      <c r="R58" s="160">
        <f>ROUND('HEM Data'!$H$11,0)</f>
        <v>3900</v>
      </c>
      <c r="S58" s="160">
        <f>ROUND('HEM Data'!$H$11,0)</f>
        <v>3900</v>
      </c>
    </row>
    <row r="59" spans="1:19" ht="14.45">
      <c r="A59" s="164">
        <v>129000</v>
      </c>
      <c r="B59" s="160">
        <f>ROUND('HEM Data'!$I$8,0)</f>
        <v>2746</v>
      </c>
      <c r="C59" s="160">
        <f>ROUND('HEM Data'!$I$3,0)</f>
        <v>3910</v>
      </c>
      <c r="D59" s="160">
        <f>ROUND('HEM Data'!$I$4,0)</f>
        <v>4282</v>
      </c>
      <c r="E59" s="160">
        <f>ROUND('HEM Data'!$I$5,0)</f>
        <v>4579</v>
      </c>
      <c r="F59" s="160">
        <f>ROUND('HEM Data'!$I$6,0)</f>
        <v>4942</v>
      </c>
      <c r="G59" s="160">
        <f>ROUND('HEM Data'!$I$6,0)</f>
        <v>4942</v>
      </c>
      <c r="H59" s="160">
        <f>ROUND('HEM Data'!$I$6,0)</f>
        <v>4942</v>
      </c>
      <c r="I59" s="160">
        <f>ROUND('HEM Data'!$I$6,0)</f>
        <v>4942</v>
      </c>
      <c r="J59" s="160">
        <f>ROUND('HEM Data'!$I$6,0)</f>
        <v>4942</v>
      </c>
      <c r="K59" s="160">
        <f>ROUND('HEM Data'!$I$6,0)</f>
        <v>4942</v>
      </c>
      <c r="L59" s="160">
        <f>ROUND('HEM Data'!$I$9,0)</f>
        <v>3181</v>
      </c>
      <c r="M59" s="160">
        <f>ROUND('HEM Data'!$I$10,0)</f>
        <v>3710</v>
      </c>
      <c r="N59" s="160">
        <f>ROUND('HEM Data'!$I$11,0)</f>
        <v>4239</v>
      </c>
      <c r="O59" s="160">
        <f>ROUND('HEM Data'!$I$11,0)</f>
        <v>4239</v>
      </c>
      <c r="P59" s="160">
        <f>ROUND('HEM Data'!$I$11,0)</f>
        <v>4239</v>
      </c>
      <c r="Q59" s="160">
        <f>ROUND('HEM Data'!$I$11,0)</f>
        <v>4239</v>
      </c>
      <c r="R59" s="160">
        <f>ROUND('HEM Data'!$I$11,0)</f>
        <v>4239</v>
      </c>
      <c r="S59" s="160">
        <f>ROUND('HEM Data'!$I$11,0)</f>
        <v>4239</v>
      </c>
    </row>
    <row r="60" spans="1:19" ht="14.45">
      <c r="A60" s="164">
        <v>155000</v>
      </c>
      <c r="B60" s="160">
        <f>ROUND('HEM Data'!$J$8,0)</f>
        <v>3088</v>
      </c>
      <c r="C60" s="160">
        <f>ROUND('HEM Data'!$J$3,0)</f>
        <v>4249</v>
      </c>
      <c r="D60" s="160">
        <f>ROUND('HEM Data'!$J$4,0)</f>
        <v>4621</v>
      </c>
      <c r="E60" s="160">
        <f>ROUND('HEM Data'!$J$5,0)</f>
        <v>4917</v>
      </c>
      <c r="F60" s="160">
        <f>ROUND('HEM Data'!$J$6,0)</f>
        <v>5285</v>
      </c>
      <c r="G60" s="160">
        <f>ROUND('HEM Data'!$J$6,0)</f>
        <v>5285</v>
      </c>
      <c r="H60" s="160">
        <f>ROUND('HEM Data'!$J$6,0)</f>
        <v>5285</v>
      </c>
      <c r="I60" s="160">
        <f>ROUND('HEM Data'!$J$6,0)</f>
        <v>5285</v>
      </c>
      <c r="J60" s="160">
        <f>ROUND('HEM Data'!$J$6,0)</f>
        <v>5285</v>
      </c>
      <c r="K60" s="160">
        <f>ROUND('HEM Data'!$J$6,0)</f>
        <v>5285</v>
      </c>
      <c r="L60" s="160">
        <f>ROUND('HEM Data'!$J$9,0)</f>
        <v>3524</v>
      </c>
      <c r="M60" s="160">
        <f>ROUND('HEM Data'!$J$10,0)</f>
        <v>4056</v>
      </c>
      <c r="N60" s="160">
        <f>ROUND('HEM Data'!$J$11,0)</f>
        <v>4588</v>
      </c>
      <c r="O60" s="160">
        <f>ROUND('HEM Data'!$J$11,0)</f>
        <v>4588</v>
      </c>
      <c r="P60" s="160">
        <f>ROUND('HEM Data'!$J$11,0)</f>
        <v>4588</v>
      </c>
      <c r="Q60" s="160">
        <f>ROUND('HEM Data'!$J$11,0)</f>
        <v>4588</v>
      </c>
      <c r="R60" s="160">
        <f>ROUND('HEM Data'!$J$11,0)</f>
        <v>4588</v>
      </c>
      <c r="S60" s="160">
        <f>ROUND('HEM Data'!$J$11,0)</f>
        <v>4588</v>
      </c>
    </row>
    <row r="61" spans="1:19" ht="14.45">
      <c r="A61" s="164">
        <v>181000</v>
      </c>
      <c r="B61" s="160">
        <f>ROUND('HEM Data'!$K$8,0)</f>
        <v>3313</v>
      </c>
      <c r="C61" s="160">
        <f>ROUND('HEM Data'!$K$3,0)</f>
        <v>4473</v>
      </c>
      <c r="D61" s="160">
        <f>ROUND('HEM Data'!$K$4,0)</f>
        <v>4845</v>
      </c>
      <c r="E61" s="160">
        <f>ROUND('HEM Data'!$K$5,0)</f>
        <v>5141</v>
      </c>
      <c r="F61" s="160">
        <f>ROUND('HEM Data'!$K$6,0)</f>
        <v>5512</v>
      </c>
      <c r="G61" s="160">
        <f>ROUND('HEM Data'!$K$6,0)</f>
        <v>5512</v>
      </c>
      <c r="H61" s="160">
        <f>ROUND('HEM Data'!$K$6,0)</f>
        <v>5512</v>
      </c>
      <c r="I61" s="160">
        <f>ROUND('HEM Data'!$K$6,0)</f>
        <v>5512</v>
      </c>
      <c r="J61" s="160">
        <f>ROUND('HEM Data'!$K$6,0)</f>
        <v>5512</v>
      </c>
      <c r="K61" s="160">
        <f>ROUND('HEM Data'!$K$6,0)</f>
        <v>5512</v>
      </c>
      <c r="L61" s="160">
        <f>ROUND('HEM Data'!$K$9,0)</f>
        <v>3750</v>
      </c>
      <c r="M61" s="160">
        <f>ROUND('HEM Data'!$K$10,0)</f>
        <v>4284</v>
      </c>
      <c r="N61" s="160">
        <f>ROUND('HEM Data'!$K$11,0)</f>
        <v>4818</v>
      </c>
      <c r="O61" s="160">
        <f>ROUND('HEM Data'!$K$11,0)</f>
        <v>4818</v>
      </c>
      <c r="P61" s="160">
        <f>ROUND('HEM Data'!$K$11,0)</f>
        <v>4818</v>
      </c>
      <c r="Q61" s="160">
        <f>ROUND('HEM Data'!$K$11,0)</f>
        <v>4818</v>
      </c>
      <c r="R61" s="160">
        <f>ROUND('HEM Data'!$K$11,0)</f>
        <v>4818</v>
      </c>
      <c r="S61" s="160">
        <f>ROUND('HEM Data'!$K$11,0)</f>
        <v>4818</v>
      </c>
    </row>
    <row r="62" spans="1:19" ht="14.45">
      <c r="A62" s="164">
        <v>207000</v>
      </c>
      <c r="B62" s="160">
        <f>ROUND('HEM Data'!$L$8,0)</f>
        <v>3592</v>
      </c>
      <c r="C62" s="160">
        <f>ROUND('HEM Data'!$L$3,0)</f>
        <v>4750</v>
      </c>
      <c r="D62" s="160">
        <f>ROUND('HEM Data'!$L$4,0)</f>
        <v>5121</v>
      </c>
      <c r="E62" s="160">
        <f>ROUND('HEM Data'!$L$5,0)</f>
        <v>5418</v>
      </c>
      <c r="F62" s="160">
        <f>ROUND('HEM Data'!$L$6,0)</f>
        <v>5793</v>
      </c>
      <c r="G62" s="160">
        <f>ROUND('HEM Data'!$L$6,0)</f>
        <v>5793</v>
      </c>
      <c r="H62" s="160">
        <f>ROUND('HEM Data'!$L$6,0)</f>
        <v>5793</v>
      </c>
      <c r="I62" s="160">
        <f>ROUND('HEM Data'!$L$6,0)</f>
        <v>5793</v>
      </c>
      <c r="J62" s="160">
        <f>ROUND('HEM Data'!$L$6,0)</f>
        <v>5793</v>
      </c>
      <c r="K62" s="160">
        <f>ROUND('HEM Data'!$L$6,0)</f>
        <v>5793</v>
      </c>
      <c r="L62" s="160">
        <f>ROUND('HEM Data'!$L$9,0)</f>
        <v>4031</v>
      </c>
      <c r="M62" s="160">
        <f>ROUND('HEM Data'!$L$10,0)</f>
        <v>4567</v>
      </c>
      <c r="N62" s="160">
        <f>ROUND('HEM Data'!$L$11,0)</f>
        <v>5103</v>
      </c>
      <c r="O62" s="160">
        <f>ROUND('HEM Data'!$L$11,0)</f>
        <v>5103</v>
      </c>
      <c r="P62" s="160">
        <f>ROUND('HEM Data'!$L$11,0)</f>
        <v>5103</v>
      </c>
      <c r="Q62" s="160">
        <f>ROUND('HEM Data'!$L$11,0)</f>
        <v>5103</v>
      </c>
      <c r="R62" s="160">
        <f>ROUND('HEM Data'!$L$11,0)</f>
        <v>5103</v>
      </c>
      <c r="S62" s="160">
        <f>ROUND('HEM Data'!$L$11,0)</f>
        <v>5103</v>
      </c>
    </row>
    <row r="63" spans="1:19" ht="14.45">
      <c r="A63" s="164">
        <v>258000</v>
      </c>
      <c r="B63" s="160">
        <f>ROUND('HEM Data'!$M$8,0)</f>
        <v>4092</v>
      </c>
      <c r="C63" s="160">
        <f>ROUND('HEM Data'!$M$3,0)</f>
        <v>5248</v>
      </c>
      <c r="D63" s="160">
        <f>ROUND('HEM Data'!$M$4,0)</f>
        <v>5618</v>
      </c>
      <c r="E63" s="160">
        <f>ROUND('HEM Data'!$M$5,0)</f>
        <v>5915</v>
      </c>
      <c r="F63" s="160">
        <f>ROUND('HEM Data'!$M$6,0)</f>
        <v>6296</v>
      </c>
      <c r="G63" s="160">
        <f>ROUND('HEM Data'!$M$6,0)</f>
        <v>6296</v>
      </c>
      <c r="H63" s="160">
        <f>ROUND('HEM Data'!$M$6,0)</f>
        <v>6296</v>
      </c>
      <c r="I63" s="160">
        <f>ROUND('HEM Data'!$M$6,0)</f>
        <v>6296</v>
      </c>
      <c r="J63" s="160">
        <f>ROUND('HEM Data'!$M$6,0)</f>
        <v>6296</v>
      </c>
      <c r="K63" s="160">
        <f>ROUND('HEM Data'!$M$6,0)</f>
        <v>6296</v>
      </c>
      <c r="L63" s="160">
        <f>ROUND('HEM Data'!$M$9,0)</f>
        <v>4533</v>
      </c>
      <c r="M63" s="160">
        <f>ROUND('HEM Data'!$M$10,0)</f>
        <v>5074</v>
      </c>
      <c r="N63" s="160">
        <f>ROUND('HEM Data'!$M$11,0)</f>
        <v>5614</v>
      </c>
      <c r="O63" s="160">
        <f>ROUND('HEM Data'!$M$11,0)</f>
        <v>5614</v>
      </c>
      <c r="P63" s="160">
        <f>ROUND('HEM Data'!$M$11,0)</f>
        <v>5614</v>
      </c>
      <c r="Q63" s="160">
        <f>ROUND('HEM Data'!$M$11,0)</f>
        <v>5614</v>
      </c>
      <c r="R63" s="160">
        <f>ROUND('HEM Data'!$M$11,0)</f>
        <v>5614</v>
      </c>
      <c r="S63" s="160">
        <f>ROUND('HEM Data'!$M$11,0)</f>
        <v>5614</v>
      </c>
    </row>
    <row r="64" spans="1:19" ht="14.45">
      <c r="A64" s="164">
        <v>323000</v>
      </c>
      <c r="B64" s="160">
        <f>ROUND('HEM Data'!$N$8,0)</f>
        <v>4843</v>
      </c>
      <c r="C64" s="160">
        <f>ROUND('HEM Data'!$N$3,0)</f>
        <v>5993</v>
      </c>
      <c r="D64" s="160">
        <f>ROUND('HEM Data'!$N$4,0)</f>
        <v>6362</v>
      </c>
      <c r="E64" s="160">
        <f>ROUND('HEM Data'!$N$5,0)</f>
        <v>6660</v>
      </c>
      <c r="F64" s="160">
        <f>ROUND('HEM Data'!$N$6,0)</f>
        <v>7050</v>
      </c>
      <c r="G64" s="160">
        <f>ROUND('HEM Data'!$N$6,0)</f>
        <v>7050</v>
      </c>
      <c r="H64" s="160">
        <f>ROUND('HEM Data'!$N$6,0)</f>
        <v>7050</v>
      </c>
      <c r="I64" s="160">
        <f>ROUND('HEM Data'!$N$6,0)</f>
        <v>7050</v>
      </c>
      <c r="J64" s="160">
        <f>ROUND('HEM Data'!$N$6,0)</f>
        <v>7050</v>
      </c>
      <c r="K64" s="160">
        <f>ROUND('HEM Data'!$N$6,0)</f>
        <v>7050</v>
      </c>
      <c r="L64" s="160">
        <f>ROUND('HEM Data'!$N$9,0)</f>
        <v>5287</v>
      </c>
      <c r="M64" s="160">
        <f>ROUND('HEM Data'!$N$10,0)</f>
        <v>5833</v>
      </c>
      <c r="N64" s="160">
        <f>ROUND('HEM Data'!$N$11,0)</f>
        <v>6380</v>
      </c>
      <c r="O64" s="160">
        <f>ROUND('HEM Data'!$N$11,0)</f>
        <v>6380</v>
      </c>
      <c r="P64" s="160">
        <f>ROUND('HEM Data'!$N$11,0)</f>
        <v>6380</v>
      </c>
      <c r="Q64" s="160">
        <f>ROUND('HEM Data'!$N$11,0)</f>
        <v>6380</v>
      </c>
      <c r="R64" s="160">
        <f>ROUND('HEM Data'!$N$11,0)</f>
        <v>6380</v>
      </c>
      <c r="S64" s="160">
        <f>ROUND('HEM Data'!$N$11,0)</f>
        <v>6380</v>
      </c>
    </row>
    <row r="65" spans="1:19" ht="14.45">
      <c r="A65" s="164">
        <v>387000</v>
      </c>
      <c r="B65" s="160">
        <f>ROUND('HEM Data'!$O$8,0)</f>
        <v>4940</v>
      </c>
      <c r="C65" s="160">
        <f>ROUND('HEM Data'!$O$3,0)</f>
        <v>6090</v>
      </c>
      <c r="D65" s="160">
        <f>ROUND('HEM Data'!$O$4,0)</f>
        <v>6459</v>
      </c>
      <c r="E65" s="160">
        <f>ROUND('HEM Data'!$O$5,0)</f>
        <v>6756</v>
      </c>
      <c r="F65" s="160">
        <f>ROUND('HEM Data'!$O$6,0)</f>
        <v>7147</v>
      </c>
      <c r="G65" s="160">
        <f>ROUND('HEM Data'!$O$6,0)</f>
        <v>7147</v>
      </c>
      <c r="H65" s="160">
        <f>ROUND('HEM Data'!$O$6,0)</f>
        <v>7147</v>
      </c>
      <c r="I65" s="160">
        <f>ROUND('HEM Data'!$O$6,0)</f>
        <v>7147</v>
      </c>
      <c r="J65" s="160">
        <f>ROUND('HEM Data'!$O$6,0)</f>
        <v>7147</v>
      </c>
      <c r="K65" s="160">
        <f>ROUND('HEM Data'!$O$6,0)</f>
        <v>7147</v>
      </c>
      <c r="L65" s="160">
        <f>ROUND('HEM Data'!$O$9,0)</f>
        <v>5384</v>
      </c>
      <c r="M65" s="160">
        <f>ROUND('HEM Data'!$O$10,0)</f>
        <v>5932</v>
      </c>
      <c r="N65" s="160">
        <f>ROUND('HEM Data'!$O$11,0)</f>
        <v>6479</v>
      </c>
      <c r="O65" s="160">
        <f>ROUND('HEM Data'!$O$11,0)</f>
        <v>6479</v>
      </c>
      <c r="P65" s="160">
        <f>ROUND('HEM Data'!$O$11,0)</f>
        <v>6479</v>
      </c>
      <c r="Q65" s="160">
        <f>ROUND('HEM Data'!$O$11,0)</f>
        <v>6479</v>
      </c>
      <c r="R65" s="160">
        <f>ROUND('HEM Data'!$O$11,0)</f>
        <v>6479</v>
      </c>
      <c r="S65" s="160">
        <f>ROUND('HEM Data'!$O$11,0)</f>
        <v>6479</v>
      </c>
    </row>
    <row r="66" spans="1:19" ht="14.45">
      <c r="A66" s="164"/>
      <c r="B66" s="160">
        <f>ROUND('HEM Data'!$P$8,0)</f>
        <v>0</v>
      </c>
      <c r="C66" s="160">
        <f>ROUND('HEM Data'!$P$3,0)</f>
        <v>0</v>
      </c>
      <c r="D66" s="160">
        <f>ROUND('HEM Data'!$P$4,0)</f>
        <v>0</v>
      </c>
      <c r="E66" s="160">
        <f>ROUND('HEM Data'!$P$5,0)</f>
        <v>0</v>
      </c>
      <c r="F66" s="160">
        <f>ROUND('HEM Data'!$P$6,0)</f>
        <v>0</v>
      </c>
      <c r="G66" s="160">
        <f>ROUND('HEM Data'!$P$6,0)</f>
        <v>0</v>
      </c>
      <c r="H66" s="160">
        <f>ROUND('HEM Data'!$P$6,0)</f>
        <v>0</v>
      </c>
      <c r="I66" s="160">
        <f>ROUND('HEM Data'!$P$6,0)</f>
        <v>0</v>
      </c>
      <c r="J66" s="160">
        <f>ROUND('HEM Data'!$P$6,0)</f>
        <v>0</v>
      </c>
      <c r="K66" s="160">
        <f>ROUND('HEM Data'!$P$6,0)</f>
        <v>0</v>
      </c>
      <c r="L66" s="160">
        <f>ROUND('HEM Data'!$P$9,0)</f>
        <v>0</v>
      </c>
      <c r="M66" s="160">
        <f>ROUND('HEM Data'!$P$10,0)</f>
        <v>0</v>
      </c>
      <c r="N66" s="160">
        <f>ROUND('HEM Data'!$P$11,0)</f>
        <v>0</v>
      </c>
      <c r="O66" s="160">
        <f>ROUND('HEM Data'!$P$11,0)</f>
        <v>0</v>
      </c>
      <c r="P66" s="160">
        <f>ROUND('HEM Data'!$P$11,0)</f>
        <v>0</v>
      </c>
      <c r="Q66" s="160">
        <f>ROUND('HEM Data'!$P$11,0)</f>
        <v>0</v>
      </c>
      <c r="R66" s="160">
        <f>ROUND('HEM Data'!$P$11,0)</f>
        <v>0</v>
      </c>
      <c r="S66" s="160">
        <f>ROUND('HEM Data'!$P$11,0)</f>
        <v>0</v>
      </c>
    </row>
    <row r="67" spans="1:19" ht="14.45">
      <c r="A67" s="164"/>
      <c r="B67" s="160">
        <f>ROUND('HEM Data'!$Q$8,0)</f>
        <v>0</v>
      </c>
      <c r="C67" s="160">
        <f>ROUND('HEM Data'!$Q$3,0)</f>
        <v>0</v>
      </c>
      <c r="D67" s="160">
        <f>ROUND('HEM Data'!$Q$4,0)</f>
        <v>0</v>
      </c>
      <c r="E67" s="160">
        <f>ROUND('HEM Data'!$Q$5,0)</f>
        <v>0</v>
      </c>
      <c r="F67" s="160">
        <f>ROUND('HEM Data'!$Q$6,0)</f>
        <v>0</v>
      </c>
      <c r="G67" s="160">
        <f>ROUND('HEM Data'!$Q$6,0)</f>
        <v>0</v>
      </c>
      <c r="H67" s="160">
        <f>ROUND('HEM Data'!$Q$6,0)</f>
        <v>0</v>
      </c>
      <c r="I67" s="160">
        <f>ROUND('HEM Data'!$Q$6,0)</f>
        <v>0</v>
      </c>
      <c r="J67" s="160">
        <f>ROUND('HEM Data'!$Q$6,0)</f>
        <v>0</v>
      </c>
      <c r="K67" s="160">
        <f>ROUND('HEM Data'!$Q$6,0)</f>
        <v>0</v>
      </c>
      <c r="L67" s="160">
        <f>ROUND('HEM Data'!$Q$9,0)</f>
        <v>0</v>
      </c>
      <c r="M67" s="160">
        <f>ROUND('HEM Data'!$Q$10,0)</f>
        <v>0</v>
      </c>
      <c r="N67" s="160">
        <f>ROUND('HEM Data'!$Q$11,0)</f>
        <v>0</v>
      </c>
      <c r="O67" s="160">
        <f>ROUND('HEM Data'!$Q$11,0)</f>
        <v>0</v>
      </c>
      <c r="P67" s="160">
        <f>ROUND('HEM Data'!$Q$11,0)</f>
        <v>0</v>
      </c>
      <c r="Q67" s="160">
        <f>ROUND('HEM Data'!$Q$11,0)</f>
        <v>0</v>
      </c>
      <c r="R67" s="160">
        <f>ROUND('HEM Data'!$Q$11,0)</f>
        <v>0</v>
      </c>
      <c r="S67" s="160">
        <f>ROUND('HEM Data'!$Q$11,0)</f>
        <v>0</v>
      </c>
    </row>
    <row r="68" spans="1:19" ht="14.45">
      <c r="A68" s="164"/>
      <c r="B68" s="160">
        <f>ROUND('HEM Data'!$R$8,0)</f>
        <v>0</v>
      </c>
      <c r="C68" s="160">
        <f>ROUND('HEM Data'!$R$3,0)</f>
        <v>0</v>
      </c>
      <c r="D68" s="160">
        <f>ROUND('HEM Data'!$R$4,0)</f>
        <v>0</v>
      </c>
      <c r="E68" s="160">
        <f>ROUND('HEM Data'!$R$5,0)</f>
        <v>0</v>
      </c>
      <c r="F68" s="160">
        <f>ROUND('HEM Data'!$R$6,0)</f>
        <v>0</v>
      </c>
      <c r="G68" s="160">
        <f>ROUND('HEM Data'!$R$6,0)</f>
        <v>0</v>
      </c>
      <c r="H68" s="160">
        <f>ROUND('HEM Data'!$R$6,0)</f>
        <v>0</v>
      </c>
      <c r="I68" s="160">
        <f>ROUND('HEM Data'!$R$6,0)</f>
        <v>0</v>
      </c>
      <c r="J68" s="160">
        <f>ROUND('HEM Data'!$R$6,0)</f>
        <v>0</v>
      </c>
      <c r="K68" s="160">
        <f>ROUND('HEM Data'!$R$6,0)</f>
        <v>0</v>
      </c>
      <c r="L68" s="160">
        <f>ROUND('HEM Data'!$R$9,0)</f>
        <v>0</v>
      </c>
      <c r="M68" s="160">
        <f>ROUND('HEM Data'!$R$10,0)</f>
        <v>0</v>
      </c>
      <c r="N68" s="160">
        <f>ROUND('HEM Data'!$R$11,0)</f>
        <v>0</v>
      </c>
      <c r="O68" s="160">
        <f>ROUND('HEM Data'!$R$11,0)</f>
        <v>0</v>
      </c>
      <c r="P68" s="160">
        <f>ROUND('HEM Data'!$R$11,0)</f>
        <v>0</v>
      </c>
      <c r="Q68" s="160">
        <f>ROUND('HEM Data'!$R$11,0)</f>
        <v>0</v>
      </c>
      <c r="R68" s="160">
        <f>ROUND('HEM Data'!$R$11,0)</f>
        <v>0</v>
      </c>
      <c r="S68" s="160">
        <f>ROUND('HEM Data'!$R$11,0)</f>
        <v>0</v>
      </c>
    </row>
    <row r="69" spans="1:19" ht="14.45">
      <c r="A69" s="26"/>
      <c r="B69" s="35"/>
      <c r="C69" s="35"/>
      <c r="D69" s="35"/>
      <c r="E69" s="35"/>
      <c r="F69" s="35"/>
      <c r="G69" s="35"/>
      <c r="H69" s="35"/>
      <c r="I69" s="35"/>
      <c r="J69" s="35"/>
      <c r="K69" s="35"/>
      <c r="L69" s="35"/>
      <c r="M69" s="35"/>
      <c r="N69" s="35"/>
      <c r="O69" s="35"/>
      <c r="P69" s="35"/>
      <c r="Q69" s="35"/>
      <c r="R69" s="35"/>
      <c r="S69" s="35"/>
    </row>
    <row r="70" spans="1:19" ht="14.45">
      <c r="A70" s="26"/>
      <c r="B70" s="35"/>
      <c r="C70" s="35"/>
      <c r="D70" s="35"/>
      <c r="E70" s="35"/>
      <c r="F70" s="35"/>
      <c r="G70" s="35"/>
      <c r="H70" s="35"/>
      <c r="I70" s="35"/>
      <c r="J70" s="35"/>
      <c r="K70" s="35"/>
      <c r="L70" s="35"/>
      <c r="M70" s="35"/>
      <c r="N70" s="35"/>
      <c r="O70" s="35"/>
      <c r="P70" s="35"/>
      <c r="Q70" s="35"/>
      <c r="R70" s="35"/>
      <c r="S70" s="35"/>
    </row>
    <row r="71" spans="1:19" ht="14.45">
      <c r="A71" s="26"/>
      <c r="B71" s="35"/>
      <c r="C71" s="35"/>
      <c r="D71" s="35"/>
      <c r="E71" s="35"/>
      <c r="F71" s="35"/>
      <c r="G71" s="35"/>
      <c r="H71" s="35"/>
      <c r="I71" s="35"/>
      <c r="J71" s="35"/>
      <c r="K71" s="35"/>
      <c r="L71" s="35"/>
      <c r="M71" s="35"/>
      <c r="N71" s="35"/>
      <c r="O71" s="35"/>
      <c r="P71" s="35"/>
      <c r="Q71" s="35"/>
      <c r="R71" s="35"/>
      <c r="S71" s="35"/>
    </row>
    <row r="72" spans="1:19" ht="14.45">
      <c r="A72" s="26"/>
      <c r="B72" s="35"/>
      <c r="C72" s="35"/>
      <c r="D72" s="35"/>
      <c r="E72" s="35"/>
      <c r="F72" s="35"/>
      <c r="G72" s="35"/>
      <c r="H72" s="35"/>
      <c r="I72" s="35"/>
      <c r="J72" s="35"/>
      <c r="K72" s="35"/>
      <c r="L72" s="35"/>
      <c r="M72" s="35"/>
      <c r="N72" s="35"/>
      <c r="O72" s="35"/>
      <c r="P72" s="35"/>
      <c r="Q72" s="35"/>
      <c r="R72" s="35"/>
      <c r="S72" s="35"/>
    </row>
    <row r="73" spans="1:19" ht="14.45">
      <c r="A73" s="26"/>
      <c r="B73" s="35"/>
      <c r="C73" s="35"/>
      <c r="D73" s="35"/>
      <c r="E73" s="35"/>
      <c r="F73" s="35"/>
      <c r="G73" s="35"/>
      <c r="H73" s="35"/>
      <c r="I73" s="35"/>
      <c r="J73" s="35"/>
      <c r="K73" s="35"/>
      <c r="L73" s="35"/>
      <c r="M73" s="35"/>
      <c r="N73" s="35"/>
      <c r="O73" s="35"/>
      <c r="P73" s="35"/>
      <c r="Q73" s="35"/>
      <c r="R73" s="35"/>
      <c r="S73" s="35"/>
    </row>
    <row r="74" spans="1:19" ht="14.45">
      <c r="A74" s="26"/>
      <c r="B74" s="35"/>
      <c r="C74" s="35"/>
      <c r="D74" s="35"/>
      <c r="E74" s="35"/>
      <c r="F74" s="35"/>
      <c r="G74" s="35"/>
      <c r="H74" s="35"/>
      <c r="I74" s="35"/>
      <c r="J74" s="35"/>
      <c r="K74" s="35"/>
      <c r="L74" s="35"/>
      <c r="M74" s="35"/>
      <c r="N74" s="35"/>
      <c r="O74" s="35"/>
      <c r="P74" s="35"/>
      <c r="Q74" s="35"/>
      <c r="R74" s="35"/>
      <c r="S74" s="35"/>
    </row>
    <row r="75" spans="1:19" ht="14.45">
      <c r="A75" s="26"/>
      <c r="B75" s="35"/>
      <c r="C75" s="35"/>
      <c r="D75" s="35"/>
      <c r="E75" s="35"/>
      <c r="F75" s="35"/>
      <c r="G75" s="35"/>
      <c r="H75" s="35"/>
      <c r="I75" s="35"/>
      <c r="J75" s="35"/>
      <c r="K75" s="35"/>
      <c r="L75" s="35"/>
      <c r="M75" s="35"/>
      <c r="N75" s="35"/>
      <c r="O75" s="35"/>
      <c r="P75" s="35"/>
      <c r="Q75" s="35"/>
      <c r="R75" s="35"/>
      <c r="S75" s="35"/>
    </row>
    <row r="76" spans="1:19" ht="14.45">
      <c r="A76" s="26"/>
      <c r="B76" s="35"/>
      <c r="C76" s="35"/>
      <c r="D76" s="35"/>
      <c r="E76" s="35"/>
      <c r="F76" s="35"/>
      <c r="G76" s="35"/>
      <c r="H76" s="35"/>
      <c r="I76" s="35"/>
      <c r="J76" s="35"/>
      <c r="K76" s="35"/>
      <c r="L76" s="35"/>
      <c r="M76" s="35"/>
      <c r="N76" s="35"/>
      <c r="O76" s="35"/>
      <c r="P76" s="35"/>
      <c r="Q76" s="35"/>
      <c r="R76" s="35"/>
      <c r="S76" s="35"/>
    </row>
    <row r="77" spans="1:19" ht="14.45">
      <c r="A77" s="26"/>
      <c r="B77" s="35"/>
      <c r="C77" s="35"/>
      <c r="D77" s="35"/>
      <c r="E77" s="35"/>
      <c r="F77" s="35"/>
      <c r="G77" s="35"/>
      <c r="H77" s="35"/>
      <c r="I77" s="35"/>
      <c r="J77" s="35"/>
      <c r="K77" s="35"/>
      <c r="L77" s="35"/>
      <c r="M77" s="35"/>
      <c r="N77" s="35"/>
      <c r="O77" s="35"/>
      <c r="P77" s="35"/>
      <c r="Q77" s="35"/>
      <c r="R77" s="35"/>
      <c r="S77" s="35"/>
    </row>
  </sheetData>
  <dataConsolidate/>
  <mergeCells count="9">
    <mergeCell ref="A1:E1"/>
    <mergeCell ref="A3:B3"/>
    <mergeCell ref="B7:C7"/>
    <mergeCell ref="A16:B16"/>
    <mergeCell ref="F7:G7"/>
    <mergeCell ref="D7:E7"/>
    <mergeCell ref="A14:B14"/>
    <mergeCell ref="A8:A11"/>
    <mergeCell ref="A15:B15"/>
  </mergeCells>
  <phoneticPr fontId="0" type="noConversion"/>
  <printOptions horizontalCentered="1"/>
  <pageMargins left="0.31496062992125984" right="0.31496062992125984" top="0.62992125984251968" bottom="0.39370078740157483" header="0.35433070866141736" footer="0"/>
  <pageSetup paperSize="9" scale="76"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617220</xdr:colOff>
                    <xdr:row>2</xdr:row>
                    <xdr:rowOff>30480</xdr:rowOff>
                  </from>
                  <to>
                    <xdr:col>5</xdr:col>
                    <xdr:colOff>906780</xdr:colOff>
                    <xdr:row>4</xdr:row>
                    <xdr:rowOff>121920</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30480</xdr:rowOff>
                  </from>
                  <to>
                    <xdr:col>4</xdr:col>
                    <xdr:colOff>236220</xdr:colOff>
                    <xdr:row>4</xdr:row>
                    <xdr:rowOff>121920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3"/>
  <sheetViews>
    <sheetView topLeftCell="A4" workbookViewId="0">
      <selection activeCell="H7" sqref="H7"/>
    </sheetView>
  </sheetViews>
  <sheetFormatPr defaultRowHeight="13.15"/>
  <cols>
    <col min="1" max="1" width="23.7109375" customWidth="1"/>
    <col min="2" max="2" width="23.5703125" customWidth="1"/>
    <col min="3" max="3" width="18.5703125" customWidth="1"/>
  </cols>
  <sheetData>
    <row r="1" spans="1:11">
      <c r="A1" s="340" t="s">
        <v>224</v>
      </c>
      <c r="B1" s="341"/>
      <c r="C1" s="342"/>
    </row>
    <row r="2" spans="1:11">
      <c r="A2" s="1" t="s">
        <v>225</v>
      </c>
      <c r="B2" s="1" t="s">
        <v>195</v>
      </c>
      <c r="C2" s="1" t="s">
        <v>197</v>
      </c>
    </row>
    <row r="3" spans="1:11">
      <c r="A3" s="476">
        <v>0</v>
      </c>
      <c r="B3" s="477">
        <v>0</v>
      </c>
      <c r="C3" s="478">
        <v>0</v>
      </c>
    </row>
    <row r="4" spans="1:11">
      <c r="A4" s="479">
        <v>18201</v>
      </c>
      <c r="B4" s="480">
        <f>(A4-A3)*C3+B3</f>
        <v>0</v>
      </c>
      <c r="C4" s="481">
        <v>0.16</v>
      </c>
    </row>
    <row r="5" spans="1:11">
      <c r="A5" s="479">
        <v>45001</v>
      </c>
      <c r="B5" s="480">
        <f>(A5-A4)*C4+B4</f>
        <v>4288</v>
      </c>
      <c r="C5" s="481">
        <v>0.3</v>
      </c>
    </row>
    <row r="6" spans="1:11">
      <c r="A6" s="479">
        <v>135001</v>
      </c>
      <c r="B6" s="480">
        <f>(A6-A5)*C5+B5</f>
        <v>31288</v>
      </c>
      <c r="C6" s="481">
        <v>0.37</v>
      </c>
    </row>
    <row r="7" spans="1:11">
      <c r="A7" s="482">
        <v>190001</v>
      </c>
      <c r="B7" s="480">
        <f>(A7-A6)*C6+B6</f>
        <v>51638</v>
      </c>
      <c r="C7" s="483">
        <v>0.45</v>
      </c>
    </row>
    <row r="8" spans="1:11">
      <c r="A8" s="484" t="s">
        <v>200</v>
      </c>
      <c r="B8" s="485"/>
      <c r="C8" s="190">
        <v>0.02</v>
      </c>
    </row>
    <row r="9" spans="1:11">
      <c r="A9" s="484" t="s">
        <v>226</v>
      </c>
      <c r="B9" s="485"/>
      <c r="C9" s="190">
        <v>0.3</v>
      </c>
    </row>
    <row r="10" spans="1:11">
      <c r="A10" s="484" t="s">
        <v>179</v>
      </c>
      <c r="B10" s="485"/>
      <c r="C10" s="190">
        <v>0.8</v>
      </c>
      <c r="D10" s="338" t="s">
        <v>180</v>
      </c>
      <c r="E10" s="339"/>
      <c r="F10" s="339"/>
      <c r="G10" s="190">
        <v>0.6</v>
      </c>
    </row>
    <row r="11" spans="1:11">
      <c r="A11" s="484" t="s">
        <v>227</v>
      </c>
      <c r="B11" s="485"/>
      <c r="C11" s="190">
        <v>0.2</v>
      </c>
    </row>
    <row r="12" spans="1:11">
      <c r="A12" s="484" t="s">
        <v>228</v>
      </c>
      <c r="B12" s="485"/>
      <c r="C12" s="190">
        <v>7.2499999999999995E-2</v>
      </c>
    </row>
    <row r="13" spans="1:11">
      <c r="A13" s="166" t="s">
        <v>229</v>
      </c>
      <c r="B13" s="165"/>
      <c r="C13" s="486">
        <f>Main!F18</f>
        <v>0</v>
      </c>
      <c r="D13" s="167" t="s">
        <v>230</v>
      </c>
      <c r="F13" s="168">
        <v>360</v>
      </c>
      <c r="G13" s="168">
        <v>300</v>
      </c>
      <c r="H13" s="168">
        <v>240</v>
      </c>
      <c r="I13" s="168">
        <v>180</v>
      </c>
      <c r="J13" s="168">
        <v>120</v>
      </c>
      <c r="K13" s="168">
        <v>60</v>
      </c>
    </row>
    <row r="14" spans="1:11">
      <c r="A14" s="166" t="s">
        <v>231</v>
      </c>
      <c r="B14" s="165"/>
      <c r="C14" s="486">
        <f>Main!F19</f>
        <v>0</v>
      </c>
      <c r="D14" s="167" t="s">
        <v>230</v>
      </c>
      <c r="F14" s="168">
        <v>300</v>
      </c>
      <c r="G14" s="168">
        <v>240</v>
      </c>
      <c r="H14" s="168">
        <v>180</v>
      </c>
      <c r="I14" s="168">
        <v>120</v>
      </c>
      <c r="J14" s="168">
        <v>60</v>
      </c>
      <c r="K14" s="168"/>
    </row>
    <row r="15" spans="1:11">
      <c r="A15" s="340" t="s">
        <v>232</v>
      </c>
      <c r="B15" s="487"/>
      <c r="C15" s="485"/>
    </row>
    <row r="16" spans="1:11">
      <c r="A16" s="488" t="s">
        <v>233</v>
      </c>
      <c r="B16" s="489"/>
      <c r="C16" s="37" t="s">
        <v>234</v>
      </c>
    </row>
    <row r="17" spans="1:4">
      <c r="A17" s="488" t="s">
        <v>235</v>
      </c>
      <c r="B17" s="489"/>
      <c r="C17" s="37" t="s">
        <v>234</v>
      </c>
    </row>
    <row r="18" spans="1:4">
      <c r="A18" s="490" t="s">
        <v>236</v>
      </c>
      <c r="B18" s="489"/>
      <c r="C18" s="37" t="s">
        <v>234</v>
      </c>
    </row>
    <row r="19" spans="1:4">
      <c r="A19" s="488" t="s">
        <v>137</v>
      </c>
      <c r="B19" s="491"/>
      <c r="C19" s="492">
        <f>(Living_Expenses)*12</f>
        <v>0</v>
      </c>
      <c r="D19" s="492">
        <f>Living_Exp_for_ARA*12</f>
        <v>0</v>
      </c>
    </row>
    <row r="20" spans="1:4">
      <c r="A20" s="340" t="s">
        <v>237</v>
      </c>
      <c r="B20" s="342"/>
      <c r="C20" s="190">
        <v>3.2000000000000001E-2</v>
      </c>
    </row>
    <row r="21" spans="1:4">
      <c r="A21" s="340" t="s">
        <v>238</v>
      </c>
      <c r="B21" s="342"/>
      <c r="C21" s="190">
        <v>3.5000000000000003E-2</v>
      </c>
    </row>
    <row r="22" spans="1:4">
      <c r="A22" s="340" t="s">
        <v>239</v>
      </c>
      <c r="B22" s="342"/>
      <c r="C22" s="190">
        <v>3.7499999999999999E-2</v>
      </c>
    </row>
    <row r="23" spans="1:4">
      <c r="A23" s="340" t="s">
        <v>240</v>
      </c>
      <c r="B23" s="342"/>
      <c r="C23" s="190">
        <v>0.01</v>
      </c>
    </row>
    <row r="24" spans="1:4">
      <c r="A24" s="343" t="s">
        <v>241</v>
      </c>
      <c r="B24" s="344"/>
      <c r="C24" s="493">
        <f>MAX((Minimum_Servicing_Test_Rate+SVR),(Minimum_Servicing_Test_Rate+Loan_Interest_Rate))</f>
        <v>7.5000000000000011E-2</v>
      </c>
    </row>
    <row r="25" spans="1:4">
      <c r="A25" s="494" t="str">
        <f>+"Standard Variable Rate is set to "&amp;TEXT(SVR,"##0.00%")&amp;"p.a."</f>
        <v>Standard Variable Rate is set to 5.00%p.a.</v>
      </c>
      <c r="B25" s="495"/>
      <c r="C25" s="496"/>
    </row>
    <row r="26" spans="1:4">
      <c r="A26" s="497" t="str">
        <f>+"Proposed Loan Interest Rate is "&amp;TEXT(Loan_Interest_Rate,"##0.00%")&amp;"p.a."</f>
        <v>Proposed Loan Interest Rate is 0.00%p.a.</v>
      </c>
      <c r="B26" s="498"/>
      <c r="C26" s="499"/>
    </row>
    <row r="27" spans="1:4">
      <c r="A27" s="497" t="str">
        <f>+"Buffer is set to "&amp;TEXT(Minimum_Servicing_Test_Rate,"##0.00%")&amp;"p.a."</f>
        <v>Buffer is set to 2.50%p.a.</v>
      </c>
      <c r="B27" s="498"/>
      <c r="C27" s="499"/>
    </row>
    <row r="28" spans="1:4">
      <c r="A28" s="500" t="str">
        <f>+"Interest Rate used in this ARA Calculation is "&amp;TEXT(NSRInterestRate,"##0.00%")&amp;"p.a."</f>
        <v>Interest Rate used in this ARA Calculation is 7.50%p.a.</v>
      </c>
      <c r="B28" s="501"/>
      <c r="C28" s="502"/>
    </row>
    <row r="29" spans="1:4">
      <c r="A29" s="490" t="s">
        <v>242</v>
      </c>
      <c r="B29" s="489"/>
      <c r="C29" s="503">
        <f>IF((TOTAL_COSTS-Applicable_Living_Expenses)=0,0,ROUND((Total_Net_Annual_Income-Applicable_Living_Expenses)/(TOTAL_COSTS-Applicable_Living_Expenses),6))</f>
        <v>0</v>
      </c>
    </row>
    <row r="30" spans="1:4">
      <c r="A30" s="488" t="s">
        <v>243</v>
      </c>
      <c r="B30" s="489"/>
      <c r="C30" s="2" t="str">
        <f>TEXT(ROUND(NSRCalculated,4),"##0.0000")&amp;":1"</f>
        <v>0.0000:1</v>
      </c>
    </row>
    <row r="31" spans="1:4">
      <c r="A31" s="488" t="s">
        <v>244</v>
      </c>
      <c r="B31" s="489"/>
      <c r="C31" s="504">
        <v>1</v>
      </c>
    </row>
    <row r="32" spans="1:4">
      <c r="A32" s="488" t="s">
        <v>245</v>
      </c>
      <c r="B32" s="489"/>
      <c r="C32" s="2" t="str">
        <f>TEXT(ROUND(NSRRequired,4),"##0.0000")&amp;":1"</f>
        <v>1.0000:1</v>
      </c>
    </row>
    <row r="33" spans="1:5">
      <c r="A33" s="505" t="s">
        <v>246</v>
      </c>
      <c r="B33" s="505"/>
      <c r="C33" s="3">
        <f>IF(NSRCalculated&lt;NSRRequired,0,1)</f>
        <v>0</v>
      </c>
    </row>
    <row r="34" spans="1:5">
      <c r="A34" s="484" t="s">
        <v>86</v>
      </c>
      <c r="B34" s="487"/>
      <c r="C34" s="485"/>
    </row>
    <row r="35" spans="1:5">
      <c r="A35" s="506" t="s">
        <v>247</v>
      </c>
      <c r="B35" s="506"/>
      <c r="C35" s="507">
        <f>NSRRequired+0.00001</f>
        <v>1.0000100000000001</v>
      </c>
    </row>
    <row r="36" spans="1:5">
      <c r="A36" s="505" t="s">
        <v>248</v>
      </c>
      <c r="B36" s="506"/>
      <c r="C36" s="508">
        <f>ROUNDUP((((Total_Net_Annual_Income-(Living_Exp_for_ARA*12))/C35)-(Other_Commits_Total_Monthly_Payment*12)),0)</f>
        <v>0</v>
      </c>
      <c r="E36" s="36"/>
    </row>
    <row r="37" spans="1:5">
      <c r="A37" s="509" t="s">
        <v>249</v>
      </c>
      <c r="B37" s="509"/>
      <c r="C37" s="508">
        <f>ROUNDDOWN(C36/12,0)</f>
        <v>0</v>
      </c>
    </row>
    <row r="38" spans="1:5">
      <c r="A38" s="509" t="s">
        <v>250</v>
      </c>
      <c r="B38" s="509"/>
      <c r="C38" s="508">
        <f>ROUNDDOWN(IF(C37&gt;=0,-PV(CalculationsReference!G9/12,CalculationsReference!G10*12,C37,0,0),0),0)</f>
        <v>0</v>
      </c>
    </row>
    <row r="39" spans="1:5">
      <c r="A39" s="488" t="s">
        <v>251</v>
      </c>
      <c r="B39" s="491"/>
      <c r="C39" s="510">
        <f>ROUNDDOWN(C38/10000,1)*10000</f>
        <v>0</v>
      </c>
    </row>
    <row r="40" spans="1:5">
      <c r="A40" s="490" t="s">
        <v>252</v>
      </c>
      <c r="B40" s="489"/>
      <c r="C40" s="510">
        <v>2500000</v>
      </c>
    </row>
    <row r="41" spans="1:5">
      <c r="A41" s="509" t="s">
        <v>86</v>
      </c>
      <c r="B41" s="509"/>
      <c r="C41" s="510">
        <f>MIN(C40,C39)</f>
        <v>0</v>
      </c>
    </row>
    <row r="42" spans="1:5">
      <c r="A42" s="484" t="s">
        <v>253</v>
      </c>
      <c r="B42" s="485"/>
      <c r="C42" s="511">
        <f>IF(Main!E40=0,0,ROUND(IF(Main!E40&gt;0,(Main!F52+Main!F50-Main!F40)/Main!E40,""),4))</f>
        <v>0</v>
      </c>
    </row>
    <row r="43" spans="1:5">
      <c r="A43" s="490" t="s">
        <v>254</v>
      </c>
      <c r="B43" s="489"/>
      <c r="C43" s="511"/>
    </row>
    <row r="44" spans="1:5">
      <c r="A44" s="490" t="s">
        <v>255</v>
      </c>
      <c r="B44" s="489"/>
      <c r="C44" s="512">
        <v>0</v>
      </c>
    </row>
    <row r="45" spans="1:5">
      <c r="A45" s="484" t="s">
        <v>256</v>
      </c>
      <c r="B45" s="485"/>
      <c r="C45" s="508">
        <f>Total_Net_Annual_Income-Applicable_Living_Expenses-Other_Commits_Total_Annual</f>
        <v>0</v>
      </c>
    </row>
    <row r="46" spans="1:5">
      <c r="A46" s="41" t="s">
        <v>257</v>
      </c>
      <c r="B46" s="513"/>
      <c r="C46" s="508">
        <f>(ARA-(NSR_Rate_Monthly_Payment*12))/12</f>
        <v>0</v>
      </c>
    </row>
    <row r="47" spans="1:5">
      <c r="A47" s="41" t="s">
        <v>258</v>
      </c>
      <c r="B47" s="513"/>
      <c r="C47" s="514">
        <f>IF(ARA_MONTHLY&gt;=0,1,0)</f>
        <v>1</v>
      </c>
    </row>
    <row r="48" spans="1:5">
      <c r="A48" s="484" t="s">
        <v>259</v>
      </c>
      <c r="B48" s="487"/>
      <c r="C48" s="485"/>
    </row>
    <row r="49" spans="1:9">
      <c r="A49" s="490" t="s">
        <v>260</v>
      </c>
      <c r="B49" s="489"/>
      <c r="C49" s="512" t="b">
        <f>AND(Loan_Investment=0,Other_Loans_Inv_Amount=0,Other_Loans_Inv_Payment=0,Applicant1_GARental=0,Applicant2_GARental=0,Applicant3_GARental=0,Applicant4_GARental=0,Applicant5_GARental=0,Applicant6_GARental=0,Company_NPBT_GARental=0)</f>
        <v>1</v>
      </c>
    </row>
    <row r="50" spans="1:9">
      <c r="A50" s="490" t="s">
        <v>261</v>
      </c>
      <c r="B50" s="489"/>
      <c r="C50" s="512" t="b">
        <v>0</v>
      </c>
    </row>
    <row r="51" spans="1:9">
      <c r="A51" s="490" t="s">
        <v>262</v>
      </c>
      <c r="B51" s="489"/>
      <c r="C51" s="515" t="str">
        <f>IF(C49=TRUE,"Maximum Loan Amount",IF(C50=TRUE,"Maximum Loan Amount","Maximum Loan Amount *"))</f>
        <v>Maximum Loan Amount</v>
      </c>
      <c r="D51" s="516"/>
    </row>
    <row r="52" spans="1:9">
      <c r="A52" s="1" t="s">
        <v>263</v>
      </c>
      <c r="B52" s="1">
        <f>SUM(B53:B53)</f>
        <v>0</v>
      </c>
      <c r="C52" s="345" t="s">
        <v>264</v>
      </c>
      <c r="D52" s="346"/>
      <c r="E52" s="346"/>
      <c r="F52" s="346"/>
      <c r="G52" s="346"/>
      <c r="H52" s="346"/>
      <c r="I52" s="347"/>
    </row>
    <row r="53" spans="1:9">
      <c r="A53" s="184" t="s">
        <v>265</v>
      </c>
      <c r="B53" s="184">
        <f>IF(Company_NPBT_GAIncomePY=0,0,IF((Company_NPBT_GAIncomeMRY/Company_NPBT_GAIncomePY)&gt;1.25,1,0))</f>
        <v>0</v>
      </c>
      <c r="C53" s="348" t="s">
        <v>266</v>
      </c>
      <c r="D53" s="517"/>
      <c r="E53" s="517"/>
      <c r="F53" s="517"/>
      <c r="G53" s="517"/>
      <c r="H53" s="517"/>
      <c r="I53" s="518"/>
    </row>
  </sheetData>
  <mergeCells count="45">
    <mergeCell ref="C52:I52"/>
    <mergeCell ref="C53:I53"/>
    <mergeCell ref="A48:C48"/>
    <mergeCell ref="A49:B49"/>
    <mergeCell ref="C51:D51"/>
    <mergeCell ref="A51:B51"/>
    <mergeCell ref="A50:B50"/>
    <mergeCell ref="A30:B30"/>
    <mergeCell ref="A40:B40"/>
    <mergeCell ref="A39:B39"/>
    <mergeCell ref="A38:B38"/>
    <mergeCell ref="A23:B23"/>
    <mergeCell ref="A25:C25"/>
    <mergeCell ref="A29:B29"/>
    <mergeCell ref="A32:B32"/>
    <mergeCell ref="A31:B31"/>
    <mergeCell ref="A34:C34"/>
    <mergeCell ref="A33:B33"/>
    <mergeCell ref="A28:C28"/>
    <mergeCell ref="A26:C26"/>
    <mergeCell ref="A27:C27"/>
    <mergeCell ref="A41:B41"/>
    <mergeCell ref="A36:B36"/>
    <mergeCell ref="A35:B35"/>
    <mergeCell ref="A45:B45"/>
    <mergeCell ref="A42:B42"/>
    <mergeCell ref="A37:B37"/>
    <mergeCell ref="A43:B43"/>
    <mergeCell ref="A44:B44"/>
    <mergeCell ref="A17:B17"/>
    <mergeCell ref="A18:B18"/>
    <mergeCell ref="A24:B24"/>
    <mergeCell ref="A20:B20"/>
    <mergeCell ref="A19:B19"/>
    <mergeCell ref="A21:B21"/>
    <mergeCell ref="A22:B22"/>
    <mergeCell ref="D10:F10"/>
    <mergeCell ref="A1:C1"/>
    <mergeCell ref="A15:C15"/>
    <mergeCell ref="A10:B10"/>
    <mergeCell ref="A16:B16"/>
    <mergeCell ref="A8:B8"/>
    <mergeCell ref="A9:B9"/>
    <mergeCell ref="A11:B11"/>
    <mergeCell ref="A12:B12"/>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17"/>
  <sheetViews>
    <sheetView workbookViewId="0">
      <pane xSplit="1" ySplit="1" topLeftCell="B2" activePane="bottomRight" state="frozen"/>
      <selection pane="bottomRight" activeCell="F32" sqref="F32"/>
      <selection pane="bottomLeft" activeCell="B76" sqref="B76"/>
      <selection pane="topRight" activeCell="B76" sqref="B76"/>
    </sheetView>
  </sheetViews>
  <sheetFormatPr defaultRowHeight="13.15"/>
  <cols>
    <col min="1" max="1" width="31.42578125" bestFit="1" customWidth="1"/>
    <col min="2" max="2" width="9.42578125" customWidth="1"/>
    <col min="3" max="7" width="8.42578125" bestFit="1" customWidth="1"/>
    <col min="8" max="8" width="9.28515625" bestFit="1" customWidth="1"/>
    <col min="9" max="18" width="9.42578125" bestFit="1" customWidth="1"/>
  </cols>
  <sheetData>
    <row r="1" spans="1:18" ht="28.9">
      <c r="A1" s="159" t="s">
        <v>267</v>
      </c>
      <c r="B1" s="185" t="s">
        <v>268</v>
      </c>
      <c r="C1" s="185"/>
      <c r="D1" s="185"/>
      <c r="E1" s="185"/>
      <c r="F1" s="185"/>
      <c r="G1" s="185"/>
      <c r="H1" s="185"/>
      <c r="I1" s="185"/>
      <c r="J1" s="185"/>
      <c r="K1" s="185"/>
      <c r="L1" s="185"/>
      <c r="M1" s="185"/>
      <c r="N1" s="185"/>
      <c r="O1" s="185"/>
      <c r="P1" s="185"/>
      <c r="Q1" s="185"/>
      <c r="R1" s="185"/>
    </row>
    <row r="2" spans="1:18" ht="38.25" customHeight="1">
      <c r="A2" s="158" t="s">
        <v>269</v>
      </c>
      <c r="B2" s="200">
        <v>0</v>
      </c>
      <c r="C2" s="201">
        <v>26000</v>
      </c>
      <c r="D2" s="201">
        <v>39000</v>
      </c>
      <c r="E2" s="201">
        <v>52000</v>
      </c>
      <c r="F2" s="201">
        <v>65000</v>
      </c>
      <c r="G2" s="201">
        <v>77000</v>
      </c>
      <c r="H2" s="201">
        <v>103000</v>
      </c>
      <c r="I2" s="201">
        <v>129000</v>
      </c>
      <c r="J2" s="201">
        <v>155000</v>
      </c>
      <c r="K2" s="201">
        <v>181000</v>
      </c>
      <c r="L2" s="201">
        <v>207000</v>
      </c>
      <c r="M2" s="201">
        <v>258000</v>
      </c>
      <c r="N2" s="201">
        <v>323000</v>
      </c>
      <c r="O2" s="201">
        <v>387000</v>
      </c>
      <c r="P2" s="180"/>
      <c r="Q2" s="180"/>
      <c r="R2" s="180"/>
    </row>
    <row r="3" spans="1:18" ht="14.45">
      <c r="A3" s="156" t="s">
        <v>207</v>
      </c>
      <c r="B3" s="202">
        <v>2579</v>
      </c>
      <c r="C3" s="202">
        <v>2578.6175517197044</v>
      </c>
      <c r="D3" s="202">
        <v>2648.5855941378154</v>
      </c>
      <c r="E3" s="202">
        <v>2758.7320297610531</v>
      </c>
      <c r="F3" s="202">
        <v>2934.1935658046582</v>
      </c>
      <c r="G3" s="202">
        <v>3196.703571816206</v>
      </c>
      <c r="H3" s="202">
        <v>3580.1737838072131</v>
      </c>
      <c r="I3" s="202">
        <v>3910.0505042693944</v>
      </c>
      <c r="J3" s="202">
        <v>4249.2045334568184</v>
      </c>
      <c r="K3" s="202">
        <v>4473.2418864322008</v>
      </c>
      <c r="L3" s="202">
        <v>4750.4710121231174</v>
      </c>
      <c r="M3" s="202">
        <v>5247.6930922284591</v>
      </c>
      <c r="N3" s="202">
        <v>5993.2613169126735</v>
      </c>
      <c r="O3" s="202">
        <v>6089.5713502399731</v>
      </c>
      <c r="P3" s="157"/>
      <c r="Q3" s="157"/>
      <c r="R3" s="179"/>
    </row>
    <row r="4" spans="1:18" ht="14.45">
      <c r="A4" s="156" t="s">
        <v>270</v>
      </c>
      <c r="B4" s="202">
        <v>2579</v>
      </c>
      <c r="C4" s="202">
        <v>2579</v>
      </c>
      <c r="D4" s="202">
        <v>3022.7674137498266</v>
      </c>
      <c r="E4" s="202">
        <v>3132.746883732279</v>
      </c>
      <c r="F4" s="202">
        <v>3307.9424521257611</v>
      </c>
      <c r="G4" s="202">
        <v>3570.0545403956726</v>
      </c>
      <c r="H4" s="202">
        <v>3952.9434759439355</v>
      </c>
      <c r="I4" s="202">
        <v>4282.3201560162852</v>
      </c>
      <c r="J4" s="202">
        <v>4620.9600944765307</v>
      </c>
      <c r="K4" s="202">
        <v>4844.6578440725325</v>
      </c>
      <c r="L4" s="202">
        <v>5121.4667357071585</v>
      </c>
      <c r="M4" s="202">
        <v>5617.9351175932616</v>
      </c>
      <c r="N4" s="202">
        <v>6362.3731866669614</v>
      </c>
      <c r="O4" s="202">
        <v>6458.5372332476509</v>
      </c>
      <c r="P4" s="157"/>
      <c r="Q4" s="157"/>
      <c r="R4" s="157"/>
    </row>
    <row r="5" spans="1:18" ht="14.45">
      <c r="A5" s="156" t="s">
        <v>271</v>
      </c>
      <c r="B5" s="202">
        <v>2579</v>
      </c>
      <c r="C5" s="202">
        <v>2579</v>
      </c>
      <c r="D5" s="202">
        <v>3318.3203764221385</v>
      </c>
      <c r="E5" s="202">
        <v>3428.3635030984992</v>
      </c>
      <c r="F5" s="202">
        <v>3603.6604666107942</v>
      </c>
      <c r="G5" s="202">
        <v>3865.924253607227</v>
      </c>
      <c r="H5" s="202">
        <v>4249.0347855305181</v>
      </c>
      <c r="I5" s="202">
        <v>4578.6020976268219</v>
      </c>
      <c r="J5" s="202">
        <v>4917.4380288019101</v>
      </c>
      <c r="K5" s="202">
        <v>5141.2652434881165</v>
      </c>
      <c r="L5" s="202">
        <v>5418.2343488270262</v>
      </c>
      <c r="M5" s="202">
        <v>5914.9900585786354</v>
      </c>
      <c r="N5" s="202">
        <v>6659.8589831665549</v>
      </c>
      <c r="O5" s="202">
        <v>6756.0786784831753</v>
      </c>
      <c r="P5" s="157"/>
      <c r="Q5" s="157"/>
      <c r="R5" s="157"/>
    </row>
    <row r="6" spans="1:18" ht="14.45">
      <c r="A6" s="156" t="s">
        <v>272</v>
      </c>
      <c r="B6" s="202">
        <v>2579</v>
      </c>
      <c r="C6" s="202">
        <v>2579</v>
      </c>
      <c r="D6" s="202">
        <v>3318</v>
      </c>
      <c r="E6" s="202">
        <v>3777.6157868132491</v>
      </c>
      <c r="F6" s="202">
        <v>3955.1199216455661</v>
      </c>
      <c r="G6" s="202">
        <v>4220.6858860130869</v>
      </c>
      <c r="H6" s="202">
        <v>4608.6201648397991</v>
      </c>
      <c r="I6" s="202">
        <v>4942.3370654854098</v>
      </c>
      <c r="J6" s="202">
        <v>5285.4392730174632</v>
      </c>
      <c r="K6" s="202">
        <v>5512.0847136925395</v>
      </c>
      <c r="L6" s="202">
        <v>5792.5411394021894</v>
      </c>
      <c r="M6" s="202">
        <v>6295.5515045105012</v>
      </c>
      <c r="N6" s="202">
        <v>7049.7990862629586</v>
      </c>
      <c r="O6" s="202">
        <v>7147.2302900621753</v>
      </c>
      <c r="P6" s="157"/>
      <c r="Q6" s="157"/>
      <c r="R6" s="157"/>
    </row>
    <row r="7" spans="1:18" ht="14.45">
      <c r="A7" s="156"/>
      <c r="B7" s="202"/>
      <c r="C7" s="202"/>
      <c r="D7" s="202"/>
      <c r="E7" s="202"/>
      <c r="F7" s="202"/>
      <c r="G7" s="202"/>
      <c r="H7" s="202"/>
      <c r="I7" s="202"/>
      <c r="J7" s="202"/>
      <c r="K7" s="202"/>
      <c r="L7" s="202"/>
      <c r="M7" s="202"/>
      <c r="N7" s="202"/>
      <c r="O7" s="202"/>
      <c r="P7" s="157"/>
      <c r="Q7" s="157"/>
      <c r="R7" s="157"/>
    </row>
    <row r="8" spans="1:18" ht="14.45">
      <c r="A8" s="156" t="s">
        <v>273</v>
      </c>
      <c r="B8" s="202">
        <v>1338.2196643736524</v>
      </c>
      <c r="C8" s="202">
        <v>1406.4839006741715</v>
      </c>
      <c r="D8" s="202">
        <v>1476.8949301524769</v>
      </c>
      <c r="E8" s="202">
        <v>1587.7387293217696</v>
      </c>
      <c r="F8" s="202">
        <v>1764.3111595550909</v>
      </c>
      <c r="G8" s="202">
        <v>2028.4831849341897</v>
      </c>
      <c r="H8" s="202">
        <v>2414.3812413066776</v>
      </c>
      <c r="I8" s="202">
        <v>2746.346493597257</v>
      </c>
      <c r="J8" s="202">
        <v>3087.6477968896052</v>
      </c>
      <c r="K8" s="202">
        <v>3313.1035836385631</v>
      </c>
      <c r="L8" s="202">
        <v>3592.0879213455005</v>
      </c>
      <c r="M8" s="202">
        <v>4092.4580453463786</v>
      </c>
      <c r="N8" s="202">
        <v>4842.7466439824047</v>
      </c>
      <c r="O8" s="202">
        <v>4939.6664419944582</v>
      </c>
      <c r="P8" s="157"/>
      <c r="Q8" s="157"/>
      <c r="R8" s="157"/>
    </row>
    <row r="9" spans="1:18" ht="14.45">
      <c r="A9" s="156" t="s">
        <v>274</v>
      </c>
      <c r="B9" s="202">
        <v>1338</v>
      </c>
      <c r="C9" s="202">
        <v>1835.5800218542256</v>
      </c>
      <c r="D9" s="202">
        <v>1906.2941875532281</v>
      </c>
      <c r="E9" s="202">
        <v>2017.6151917505515</v>
      </c>
      <c r="F9" s="202">
        <v>2194.9478027304281</v>
      </c>
      <c r="G9" s="202">
        <v>2460.257155515249</v>
      </c>
      <c r="H9" s="202">
        <v>2847.8165937945269</v>
      </c>
      <c r="I9" s="202">
        <v>3181.2110376452329</v>
      </c>
      <c r="J9" s="202">
        <v>3523.981710719801</v>
      </c>
      <c r="K9" s="202">
        <v>3750.4081444313738</v>
      </c>
      <c r="L9" s="202">
        <v>4030.5935810873211</v>
      </c>
      <c r="M9" s="202">
        <v>4533.1179150877251</v>
      </c>
      <c r="N9" s="202">
        <v>5286.6366796345364</v>
      </c>
      <c r="O9" s="202">
        <v>5383.9737358365664</v>
      </c>
      <c r="P9" s="157"/>
      <c r="Q9" s="157"/>
      <c r="R9" s="157"/>
    </row>
    <row r="10" spans="1:18" ht="14.45">
      <c r="A10" s="156" t="s">
        <v>275</v>
      </c>
      <c r="B10" s="202">
        <v>1338</v>
      </c>
      <c r="C10" s="202">
        <v>2353.3663137912026</v>
      </c>
      <c r="D10" s="202">
        <v>2424.6744210506349</v>
      </c>
      <c r="E10" s="202">
        <v>2536.930411048686</v>
      </c>
      <c r="F10" s="202">
        <v>2715.7524510490261</v>
      </c>
      <c r="G10" s="202">
        <v>2983.290152719374</v>
      </c>
      <c r="H10" s="202">
        <v>3374.104718881159</v>
      </c>
      <c r="I10" s="202">
        <v>3710.2993550537071</v>
      </c>
      <c r="J10" s="202">
        <v>4055.9489771201479</v>
      </c>
      <c r="K10" s="202">
        <v>4284.2771695785423</v>
      </c>
      <c r="L10" s="202">
        <v>4566.8158917997725</v>
      </c>
      <c r="M10" s="202">
        <v>5073.5609484192491</v>
      </c>
      <c r="N10" s="202">
        <v>5833.408561755833</v>
      </c>
      <c r="O10" s="202">
        <v>5931.5631792058603</v>
      </c>
      <c r="P10" s="157"/>
      <c r="Q10" s="157"/>
      <c r="R10" s="157"/>
    </row>
    <row r="11" spans="1:18" ht="14.45">
      <c r="A11" s="156" t="s">
        <v>276</v>
      </c>
      <c r="B11" s="202">
        <v>1338</v>
      </c>
      <c r="C11" s="202">
        <v>2353</v>
      </c>
      <c r="D11" s="202">
        <v>2943.0546545480415</v>
      </c>
      <c r="E11" s="202">
        <v>3056.2456303468207</v>
      </c>
      <c r="F11" s="202">
        <v>3236.5570993676233</v>
      </c>
      <c r="G11" s="202">
        <v>3506.3231499234989</v>
      </c>
      <c r="H11" s="202">
        <v>3900.3928439677907</v>
      </c>
      <c r="I11" s="202">
        <v>4239.3876724621814</v>
      </c>
      <c r="J11" s="202">
        <v>4587.9162435204953</v>
      </c>
      <c r="K11" s="202">
        <v>4818.1461947257121</v>
      </c>
      <c r="L11" s="202">
        <v>5103.0382025122235</v>
      </c>
      <c r="M11" s="202">
        <v>5614.0039817507723</v>
      </c>
      <c r="N11" s="202">
        <v>6380.1804438771296</v>
      </c>
      <c r="O11" s="202">
        <v>6479.1526225751541</v>
      </c>
      <c r="P11" s="157"/>
      <c r="Q11" s="157"/>
      <c r="R11" s="157"/>
    </row>
    <row r="12" spans="1:18" ht="14.45">
      <c r="A12" s="156"/>
    </row>
    <row r="13" spans="1:18" ht="14.45">
      <c r="A13" s="156"/>
    </row>
    <row r="14" spans="1:18" ht="14.45">
      <c r="A14" s="156"/>
    </row>
    <row r="15" spans="1:18" ht="36.6">
      <c r="A15" s="182" t="s">
        <v>277</v>
      </c>
      <c r="B15" s="178">
        <f>ROUND(B2,0)</f>
        <v>0</v>
      </c>
      <c r="C15" s="178">
        <f>ROUND(C2,0)</f>
        <v>26000</v>
      </c>
      <c r="D15" s="178">
        <f t="shared" ref="D15:O15" si="0">ROUND(D2,0)</f>
        <v>39000</v>
      </c>
      <c r="E15" s="178">
        <f t="shared" si="0"/>
        <v>52000</v>
      </c>
      <c r="F15" s="178">
        <f t="shared" si="0"/>
        <v>65000</v>
      </c>
      <c r="G15" s="178">
        <f t="shared" si="0"/>
        <v>77000</v>
      </c>
      <c r="H15" s="178">
        <f>ROUND(H2,0)</f>
        <v>103000</v>
      </c>
      <c r="I15" s="178">
        <f t="shared" si="0"/>
        <v>129000</v>
      </c>
      <c r="J15" s="178">
        <f t="shared" si="0"/>
        <v>155000</v>
      </c>
      <c r="K15" s="178">
        <f t="shared" si="0"/>
        <v>181000</v>
      </c>
      <c r="L15" s="178">
        <f t="shared" si="0"/>
        <v>207000</v>
      </c>
      <c r="M15" s="178">
        <f t="shared" si="0"/>
        <v>258000</v>
      </c>
      <c r="N15" s="178">
        <f t="shared" si="0"/>
        <v>323000</v>
      </c>
      <c r="O15" s="178">
        <f t="shared" si="0"/>
        <v>387000</v>
      </c>
      <c r="P15" s="178"/>
      <c r="Q15" s="178"/>
      <c r="R15" s="178"/>
    </row>
    <row r="16" spans="1:18" ht="14.45">
      <c r="A16" s="156"/>
    </row>
    <row r="17" spans="1:15" ht="14.45">
      <c r="A17" s="156"/>
      <c r="B17" s="197">
        <f>CalculationsReference!A52-B15</f>
        <v>0</v>
      </c>
      <c r="C17" s="197">
        <f>CalculationsReference!A53-C15</f>
        <v>0</v>
      </c>
      <c r="D17" s="197">
        <f>CalculationsReference!A54-D15</f>
        <v>0</v>
      </c>
      <c r="E17" s="197">
        <f>CalculationsReference!A55-E15</f>
        <v>0</v>
      </c>
      <c r="F17" s="197">
        <f>CalculationsReference!A56-F15</f>
        <v>0</v>
      </c>
      <c r="G17" s="197">
        <f>CalculationsReference!A57-G15</f>
        <v>0</v>
      </c>
      <c r="H17" s="197">
        <f>CalculationsReference!A58-H15</f>
        <v>0</v>
      </c>
      <c r="I17" s="197">
        <f>CalculationsReference!A59-I15</f>
        <v>0</v>
      </c>
      <c r="J17" s="197">
        <f>CalculationsReference!A60-J15</f>
        <v>0</v>
      </c>
      <c r="K17" s="197">
        <f>CalculationsReference!A61-K15</f>
        <v>0</v>
      </c>
      <c r="L17" s="197">
        <f>CalculationsReference!A62-L15</f>
        <v>0</v>
      </c>
      <c r="M17" s="197">
        <f>CalculationsReference!A63-M15</f>
        <v>0</v>
      </c>
      <c r="N17" s="197">
        <f>CalculationsReference!A64-N15</f>
        <v>0</v>
      </c>
      <c r="O17" s="197">
        <f>CalculationsReference!A65-O15</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4"/>
  <sheetViews>
    <sheetView workbookViewId="0">
      <pane ySplit="3" topLeftCell="A21" activePane="bottomLeft" state="frozen"/>
      <selection pane="bottomLeft" activeCell="C46" sqref="C46"/>
      <selection activeCell="B76" sqref="B76"/>
    </sheetView>
  </sheetViews>
  <sheetFormatPr defaultColWidth="8.85546875" defaultRowHeight="13.9"/>
  <cols>
    <col min="1" max="1" width="8.85546875" style="153"/>
    <col min="2" max="2" width="11.5703125" style="153" customWidth="1"/>
    <col min="3" max="3" width="96.42578125" style="153" customWidth="1"/>
    <col min="4" max="16384" width="8.85546875" style="153"/>
  </cols>
  <sheetData>
    <row r="1" spans="1:3" ht="14.45">
      <c r="A1" s="519" t="s">
        <v>278</v>
      </c>
      <c r="B1" s="519"/>
      <c r="C1" s="519"/>
    </row>
    <row r="3" spans="1:3" ht="14.45">
      <c r="A3" s="152" t="s">
        <v>279</v>
      </c>
      <c r="B3" s="152" t="s">
        <v>280</v>
      </c>
      <c r="C3" s="151" t="s">
        <v>281</v>
      </c>
    </row>
    <row r="4" spans="1:3" ht="27.6">
      <c r="A4" s="181">
        <v>9.8000000000000007</v>
      </c>
      <c r="B4" s="154">
        <v>42052</v>
      </c>
      <c r="C4" s="155" t="s">
        <v>282</v>
      </c>
    </row>
    <row r="5" spans="1:3" ht="27.6">
      <c r="A5" s="181">
        <v>10</v>
      </c>
      <c r="B5" s="154">
        <v>42052</v>
      </c>
      <c r="C5" s="155" t="s">
        <v>283</v>
      </c>
    </row>
    <row r="6" spans="1:3">
      <c r="A6" s="181">
        <v>10.1</v>
      </c>
      <c r="B6" s="154">
        <v>42061</v>
      </c>
      <c r="C6" s="155" t="s">
        <v>284</v>
      </c>
    </row>
    <row r="7" spans="1:3" ht="27.6">
      <c r="A7" s="181">
        <v>10.199999999999999</v>
      </c>
      <c r="B7" s="154">
        <v>42144</v>
      </c>
      <c r="C7" s="155" t="s">
        <v>285</v>
      </c>
    </row>
    <row r="8" spans="1:3">
      <c r="A8" s="181">
        <v>10.3</v>
      </c>
      <c r="B8" s="154">
        <v>42255</v>
      </c>
      <c r="C8" s="155" t="s">
        <v>286</v>
      </c>
    </row>
    <row r="9" spans="1:3" ht="27.6">
      <c r="A9" s="181">
        <v>10.4</v>
      </c>
      <c r="B9" s="154">
        <v>42257</v>
      </c>
      <c r="C9" s="155" t="s">
        <v>287</v>
      </c>
    </row>
    <row r="10" spans="1:3" ht="27.6">
      <c r="A10" s="181">
        <v>10.5</v>
      </c>
      <c r="B10" s="154">
        <v>42278</v>
      </c>
      <c r="C10" s="155" t="s">
        <v>288</v>
      </c>
    </row>
    <row r="11" spans="1:3">
      <c r="A11" s="181">
        <v>10.6</v>
      </c>
      <c r="B11" s="154">
        <v>42305</v>
      </c>
      <c r="C11" s="155" t="s">
        <v>289</v>
      </c>
    </row>
    <row r="12" spans="1:3">
      <c r="A12" s="181">
        <v>10.7</v>
      </c>
      <c r="B12" s="154">
        <v>42328</v>
      </c>
      <c r="C12" s="155" t="s">
        <v>290</v>
      </c>
    </row>
    <row r="13" spans="1:3" ht="41.45">
      <c r="A13" s="181">
        <v>10.8</v>
      </c>
      <c r="B13" s="154">
        <v>42517</v>
      </c>
      <c r="C13" s="155" t="s">
        <v>291</v>
      </c>
    </row>
    <row r="14" spans="1:3">
      <c r="A14" s="181">
        <v>10.81</v>
      </c>
      <c r="B14" s="154">
        <v>42625</v>
      </c>
      <c r="C14" s="155" t="s">
        <v>292</v>
      </c>
    </row>
    <row r="15" spans="1:3">
      <c r="A15" s="181">
        <v>10.82</v>
      </c>
      <c r="B15" s="154">
        <v>42727</v>
      </c>
      <c r="C15" s="155" t="s">
        <v>293</v>
      </c>
    </row>
    <row r="16" spans="1:3">
      <c r="A16" s="181">
        <v>10.83</v>
      </c>
      <c r="B16" s="154">
        <v>42793</v>
      </c>
      <c r="C16" s="155" t="s">
        <v>294</v>
      </c>
    </row>
    <row r="17" spans="1:3">
      <c r="A17" s="181">
        <v>11</v>
      </c>
      <c r="B17" s="154">
        <v>42815</v>
      </c>
      <c r="C17" s="155" t="s">
        <v>295</v>
      </c>
    </row>
    <row r="18" spans="1:3">
      <c r="A18" s="181">
        <v>11.1</v>
      </c>
      <c r="B18" s="154">
        <v>42829</v>
      </c>
      <c r="C18" s="155" t="s">
        <v>296</v>
      </c>
    </row>
    <row r="19" spans="1:3">
      <c r="A19" s="181">
        <v>11.12</v>
      </c>
      <c r="B19" s="154">
        <v>42895</v>
      </c>
      <c r="C19" s="155" t="s">
        <v>297</v>
      </c>
    </row>
    <row r="20" spans="1:3">
      <c r="A20" s="181">
        <v>11.14</v>
      </c>
      <c r="B20" s="154">
        <v>42963</v>
      </c>
      <c r="C20" s="155" t="s">
        <v>298</v>
      </c>
    </row>
    <row r="21" spans="1:3" ht="73.900000000000006" customHeight="1">
      <c r="A21" s="181">
        <v>12</v>
      </c>
      <c r="B21" s="154">
        <v>42963</v>
      </c>
      <c r="C21" s="155" t="s">
        <v>299</v>
      </c>
    </row>
    <row r="22" spans="1:3">
      <c r="A22" s="181">
        <v>12.01</v>
      </c>
      <c r="B22" s="154">
        <v>42964</v>
      </c>
      <c r="C22" s="155" t="s">
        <v>300</v>
      </c>
    </row>
    <row r="23" spans="1:3" ht="27.6">
      <c r="A23" s="181">
        <v>12.02</v>
      </c>
      <c r="B23" s="154">
        <v>43059</v>
      </c>
      <c r="C23" s="155" t="s">
        <v>301</v>
      </c>
    </row>
    <row r="24" spans="1:3">
      <c r="A24" s="181">
        <v>12.03</v>
      </c>
      <c r="B24" s="154">
        <v>43152</v>
      </c>
      <c r="C24" s="155" t="s">
        <v>302</v>
      </c>
    </row>
    <row r="25" spans="1:3">
      <c r="A25" s="181">
        <v>12.04</v>
      </c>
      <c r="B25" s="154">
        <v>43249</v>
      </c>
      <c r="C25" s="155" t="s">
        <v>303</v>
      </c>
    </row>
    <row r="26" spans="1:3">
      <c r="A26" s="181">
        <v>12.05</v>
      </c>
      <c r="B26" s="154">
        <v>43301</v>
      </c>
      <c r="C26" s="155" t="s">
        <v>304</v>
      </c>
    </row>
    <row r="27" spans="1:3" ht="27.6">
      <c r="A27" s="181">
        <v>12.06</v>
      </c>
      <c r="B27" s="154">
        <v>43412</v>
      </c>
      <c r="C27" s="155" t="s">
        <v>305</v>
      </c>
    </row>
    <row r="28" spans="1:3" ht="27.6">
      <c r="A28" s="181">
        <v>13.02</v>
      </c>
      <c r="B28" s="154">
        <v>43412</v>
      </c>
      <c r="C28" s="155" t="s">
        <v>306</v>
      </c>
    </row>
    <row r="29" spans="1:3">
      <c r="A29" s="181">
        <v>13.03</v>
      </c>
      <c r="B29" s="154">
        <v>43538</v>
      </c>
      <c r="C29" s="155" t="s">
        <v>307</v>
      </c>
    </row>
    <row r="30" spans="1:3">
      <c r="A30" s="181">
        <v>13.04</v>
      </c>
      <c r="B30" s="154">
        <v>43648</v>
      </c>
      <c r="C30" s="155" t="s">
        <v>308</v>
      </c>
    </row>
    <row r="31" spans="1:3">
      <c r="A31" s="181">
        <v>13.04</v>
      </c>
      <c r="B31" s="154">
        <v>43733</v>
      </c>
      <c r="C31" s="153" t="s">
        <v>309</v>
      </c>
    </row>
    <row r="32" spans="1:3">
      <c r="A32" s="181">
        <v>13.05</v>
      </c>
      <c r="B32" s="154">
        <v>43920</v>
      </c>
      <c r="C32" s="153" t="s">
        <v>310</v>
      </c>
    </row>
    <row r="33" spans="1:3">
      <c r="A33" s="198">
        <v>13.06</v>
      </c>
      <c r="B33" s="199">
        <v>43973</v>
      </c>
      <c r="C33" s="153" t="s">
        <v>311</v>
      </c>
    </row>
    <row r="34" spans="1:3">
      <c r="A34" s="198">
        <v>13.07</v>
      </c>
      <c r="B34" s="203">
        <v>44136</v>
      </c>
      <c r="C34" s="153" t="s">
        <v>312</v>
      </c>
    </row>
    <row r="35" spans="1:3">
      <c r="A35" s="198">
        <v>13.08</v>
      </c>
      <c r="B35" s="203">
        <v>44256</v>
      </c>
      <c r="C35" s="153" t="s">
        <v>313</v>
      </c>
    </row>
    <row r="36" spans="1:3">
      <c r="A36" s="198">
        <v>13.09</v>
      </c>
      <c r="B36" s="203">
        <v>44378</v>
      </c>
      <c r="C36" s="153" t="s">
        <v>314</v>
      </c>
    </row>
    <row r="37" spans="1:3">
      <c r="A37" s="181">
        <v>13.1</v>
      </c>
      <c r="B37" s="203">
        <v>44470</v>
      </c>
      <c r="C37" s="153" t="s">
        <v>315</v>
      </c>
    </row>
    <row r="38" spans="1:3">
      <c r="A38" s="198">
        <v>13.11</v>
      </c>
      <c r="B38" s="203">
        <v>44743</v>
      </c>
      <c r="C38" s="153" t="s">
        <v>316</v>
      </c>
    </row>
    <row r="39" spans="1:3">
      <c r="A39" s="198">
        <v>13.12</v>
      </c>
      <c r="B39" s="203">
        <v>44774</v>
      </c>
      <c r="C39" s="153" t="s">
        <v>317</v>
      </c>
    </row>
    <row r="40" spans="1:3">
      <c r="A40" s="198">
        <v>13.14</v>
      </c>
      <c r="B40" s="203">
        <v>45047</v>
      </c>
      <c r="C40" s="153" t="s">
        <v>318</v>
      </c>
    </row>
    <row r="41" spans="1:3">
      <c r="A41" s="198">
        <v>13.14</v>
      </c>
      <c r="B41" s="203">
        <v>45047</v>
      </c>
      <c r="C41" s="153" t="s">
        <v>319</v>
      </c>
    </row>
    <row r="42" spans="1:3">
      <c r="A42" s="198">
        <v>13.15</v>
      </c>
      <c r="B42" s="203">
        <v>45352</v>
      </c>
      <c r="C42" s="153" t="s">
        <v>320</v>
      </c>
    </row>
    <row r="43" spans="1:3">
      <c r="A43" s="153">
        <v>13.16</v>
      </c>
      <c r="B43" s="203">
        <v>45474</v>
      </c>
      <c r="C43" s="153" t="s">
        <v>321</v>
      </c>
    </row>
    <row r="44" spans="1:3">
      <c r="A44" s="153">
        <v>13.17</v>
      </c>
      <c r="B44" s="203">
        <v>45323</v>
      </c>
      <c r="C44" s="153" t="s">
        <v>322</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I35" sqref="I35"/>
    </sheetView>
  </sheetViews>
  <sheetFormatPr defaultRowHeight="13.15"/>
  <cols>
    <col min="2" max="2" width="13.140625" bestFit="1" customWidth="1"/>
    <col min="3" max="3" width="14.42578125" customWidth="1"/>
    <col min="4" max="4" width="22.5703125" style="56" customWidth="1"/>
    <col min="5" max="6" width="11.140625" bestFit="1" customWidth="1"/>
    <col min="7" max="14" width="14.140625" bestFit="1" customWidth="1"/>
    <col min="15" max="22" width="11.140625" bestFit="1" customWidth="1"/>
  </cols>
  <sheetData>
    <row r="1" spans="1:22" ht="40.15" thickBot="1">
      <c r="B1" s="349" t="s">
        <v>323</v>
      </c>
      <c r="C1" s="350"/>
      <c r="D1" s="351"/>
      <c r="E1" s="70" t="s">
        <v>206</v>
      </c>
      <c r="F1" s="68" t="s">
        <v>207</v>
      </c>
      <c r="G1" s="68" t="s">
        <v>208</v>
      </c>
      <c r="H1" s="68" t="s">
        <v>209</v>
      </c>
      <c r="I1" s="68" t="s">
        <v>210</v>
      </c>
      <c r="J1" s="68" t="s">
        <v>211</v>
      </c>
      <c r="K1" s="68" t="s">
        <v>212</v>
      </c>
      <c r="L1" s="68" t="s">
        <v>213</v>
      </c>
      <c r="M1" s="68" t="s">
        <v>214</v>
      </c>
      <c r="N1" s="68" t="s">
        <v>215</v>
      </c>
      <c r="O1" s="69" t="s">
        <v>216</v>
      </c>
      <c r="P1" s="69" t="s">
        <v>217</v>
      </c>
      <c r="Q1" s="69" t="s">
        <v>218</v>
      </c>
      <c r="R1" s="69" t="s">
        <v>219</v>
      </c>
      <c r="S1" s="69" t="s">
        <v>220</v>
      </c>
      <c r="T1" s="69" t="s">
        <v>221</v>
      </c>
      <c r="U1" s="69" t="s">
        <v>222</v>
      </c>
      <c r="V1" s="69" t="s">
        <v>223</v>
      </c>
    </row>
    <row r="2" spans="1:22" s="57" customFormat="1" ht="39.6">
      <c r="B2" s="71" t="s">
        <v>324</v>
      </c>
      <c r="C2" s="71" t="s">
        <v>325</v>
      </c>
      <c r="D2" s="71" t="s">
        <v>326</v>
      </c>
      <c r="E2" s="67">
        <v>339.5</v>
      </c>
      <c r="F2" s="67">
        <v>493</v>
      </c>
      <c r="G2" s="67">
        <f>F2+120</f>
        <v>613</v>
      </c>
      <c r="H2" s="67">
        <f>G2+120</f>
        <v>733</v>
      </c>
      <c r="I2" s="67">
        <f t="shared" ref="I2:J2" si="0">H2+120</f>
        <v>853</v>
      </c>
      <c r="J2" s="67">
        <f t="shared" si="0"/>
        <v>973</v>
      </c>
      <c r="K2" s="149">
        <f>J2+(J2-I2)</f>
        <v>1093</v>
      </c>
      <c r="L2" s="149">
        <f t="shared" ref="L2:N2" si="1">K2+(K2-J2)</f>
        <v>1213</v>
      </c>
      <c r="M2" s="149">
        <f t="shared" si="1"/>
        <v>1333</v>
      </c>
      <c r="N2" s="149">
        <f t="shared" si="1"/>
        <v>1453</v>
      </c>
      <c r="O2" s="67">
        <f>E2+120</f>
        <v>459.5</v>
      </c>
      <c r="P2" s="67">
        <f>O2+120</f>
        <v>579.5</v>
      </c>
      <c r="Q2" s="67">
        <f t="shared" ref="Q2:R2" si="2">P2+120</f>
        <v>699.5</v>
      </c>
      <c r="R2" s="67">
        <f t="shared" si="2"/>
        <v>819.5</v>
      </c>
      <c r="S2" s="149">
        <f>R2+(R2-Q2)</f>
        <v>939.5</v>
      </c>
      <c r="T2" s="149">
        <f t="shared" ref="T2" si="3">S2+(S2-R2)</f>
        <v>1059.5</v>
      </c>
      <c r="U2" s="149">
        <f t="shared" ref="U2" si="4">T2+(T2-S2)</f>
        <v>1179.5</v>
      </c>
      <c r="V2" s="149">
        <f t="shared" ref="V2" si="5">U2+(U2-T2)</f>
        <v>1299.5</v>
      </c>
    </row>
    <row r="3" spans="1:22">
      <c r="B3" s="60" t="s">
        <v>205</v>
      </c>
      <c r="C3" s="60"/>
      <c r="D3" s="61"/>
      <c r="E3" s="60"/>
      <c r="F3" s="60"/>
      <c r="G3" s="60"/>
      <c r="H3" s="60"/>
      <c r="I3" s="60"/>
      <c r="J3" s="60"/>
      <c r="K3" s="60"/>
      <c r="L3" s="60"/>
      <c r="M3" s="60"/>
      <c r="N3" s="60"/>
      <c r="O3" s="60"/>
      <c r="P3" s="60"/>
      <c r="Q3" s="60"/>
      <c r="R3" s="60"/>
      <c r="S3" s="60"/>
      <c r="T3" s="60"/>
      <c r="U3" s="60"/>
      <c r="V3" s="60"/>
    </row>
    <row r="4" spans="1:22">
      <c r="B4" s="62" t="s">
        <v>327</v>
      </c>
      <c r="C4" s="63" t="s">
        <v>328</v>
      </c>
      <c r="D4" s="64" t="s">
        <v>329</v>
      </c>
      <c r="E4" s="65">
        <f>(E$2*52)/12</f>
        <v>1471.1666666666667</v>
      </c>
      <c r="F4" s="65">
        <f t="shared" ref="F4:V4" si="6">(F$2*52)/12</f>
        <v>2136.3333333333335</v>
      </c>
      <c r="G4" s="65">
        <f t="shared" si="6"/>
        <v>2656.3333333333335</v>
      </c>
      <c r="H4" s="65">
        <f t="shared" si="6"/>
        <v>3176.3333333333335</v>
      </c>
      <c r="I4" s="65">
        <f t="shared" si="6"/>
        <v>3696.3333333333335</v>
      </c>
      <c r="J4" s="65">
        <f t="shared" si="6"/>
        <v>4216.333333333333</v>
      </c>
      <c r="K4" s="65">
        <f t="shared" si="6"/>
        <v>4736.333333333333</v>
      </c>
      <c r="L4" s="65">
        <f t="shared" si="6"/>
        <v>5256.333333333333</v>
      </c>
      <c r="M4" s="65">
        <f t="shared" si="6"/>
        <v>5776.333333333333</v>
      </c>
      <c r="N4" s="65">
        <f t="shared" si="6"/>
        <v>6296.333333333333</v>
      </c>
      <c r="O4" s="65">
        <f t="shared" si="6"/>
        <v>1991.1666666666667</v>
      </c>
      <c r="P4" s="65">
        <f t="shared" si="6"/>
        <v>2511.1666666666665</v>
      </c>
      <c r="Q4" s="65">
        <f t="shared" si="6"/>
        <v>3031.1666666666665</v>
      </c>
      <c r="R4" s="65">
        <f t="shared" si="6"/>
        <v>3551.1666666666665</v>
      </c>
      <c r="S4" s="65">
        <f t="shared" si="6"/>
        <v>4071.1666666666665</v>
      </c>
      <c r="T4" s="65">
        <f t="shared" si="6"/>
        <v>4591.166666666667</v>
      </c>
      <c r="U4" s="65">
        <f t="shared" si="6"/>
        <v>5111.166666666667</v>
      </c>
      <c r="V4" s="65">
        <f t="shared" si="6"/>
        <v>5631.166666666667</v>
      </c>
    </row>
    <row r="5" spans="1:22">
      <c r="B5" s="60"/>
      <c r="C5" s="60"/>
      <c r="D5" s="61"/>
      <c r="E5" s="60"/>
      <c r="F5" s="60"/>
      <c r="G5" s="60"/>
      <c r="H5" s="60"/>
      <c r="I5" s="66"/>
      <c r="J5" s="66"/>
      <c r="K5" s="66"/>
      <c r="L5" s="66"/>
      <c r="M5" s="66"/>
      <c r="N5" s="66"/>
      <c r="O5" s="66"/>
      <c r="P5" s="66"/>
      <c r="Q5" s="66"/>
      <c r="R5" s="66"/>
      <c r="S5" s="66"/>
      <c r="T5" s="66"/>
      <c r="U5" s="66"/>
      <c r="V5" s="66"/>
    </row>
    <row r="6" spans="1:22">
      <c r="G6" s="150">
        <f>G4-F4</f>
        <v>520</v>
      </c>
      <c r="H6" s="150">
        <f t="shared" ref="H6:N6" si="7">H4-G4</f>
        <v>520</v>
      </c>
      <c r="I6" s="150">
        <f t="shared" si="7"/>
        <v>520</v>
      </c>
      <c r="J6" s="150">
        <f t="shared" si="7"/>
        <v>519.99999999999955</v>
      </c>
      <c r="K6" s="150">
        <f t="shared" si="7"/>
        <v>520</v>
      </c>
      <c r="L6" s="150">
        <f t="shared" si="7"/>
        <v>520</v>
      </c>
      <c r="M6" s="150">
        <f t="shared" si="7"/>
        <v>520</v>
      </c>
      <c r="N6" s="150">
        <f t="shared" si="7"/>
        <v>520</v>
      </c>
      <c r="O6" s="150">
        <f>O4-E4</f>
        <v>520</v>
      </c>
      <c r="P6" s="150">
        <f>P4-O4</f>
        <v>519.99999999999977</v>
      </c>
      <c r="Q6" s="150">
        <f t="shared" ref="Q6:V6" si="8">Q4-P4</f>
        <v>520</v>
      </c>
      <c r="R6" s="150">
        <f t="shared" si="8"/>
        <v>520</v>
      </c>
      <c r="S6" s="150">
        <f t="shared" si="8"/>
        <v>520</v>
      </c>
      <c r="T6" s="150">
        <f t="shared" si="8"/>
        <v>520.00000000000045</v>
      </c>
      <c r="U6" s="150">
        <f t="shared" si="8"/>
        <v>520</v>
      </c>
      <c r="V6" s="150">
        <f t="shared" si="8"/>
        <v>520</v>
      </c>
    </row>
    <row r="7" spans="1:22">
      <c r="I7" s="38"/>
    </row>
    <row r="8" spans="1:22">
      <c r="A8" s="59" t="s">
        <v>330</v>
      </c>
      <c r="B8" s="58" t="s">
        <v>331</v>
      </c>
    </row>
  </sheetData>
  <mergeCells count="1">
    <mergeCell ref="B1:D1"/>
  </mergeCells>
  <hyperlinks>
    <hyperlink ref="B8" r:id="rId1" xr:uid="{00000000-0004-0000-07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882e92-7048-47ff-aed4-640a6993bfb9">
      <Terms xmlns="http://schemas.microsoft.com/office/infopath/2007/PartnerControls"/>
    </lcf76f155ced4ddcb4097134ff3c332f>
    <TaxCatchAll xmlns="b517f410-3b25-4960-9412-354a7c27fc5e" xsi:nil="true"/>
    <Business_x0020_Unit xmlns="4a882e92-7048-47ff-aed4-640a6993bfb9">Credit Services</Business_x0020_Unit>
    <_Flow_SignoffStatus xmlns="4a882e92-7048-47ff-aed4-640a6993bf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1CA12132BE8438BBB7020BB67AB65" ma:contentTypeVersion="16" ma:contentTypeDescription="Create a new document." ma:contentTypeScope="" ma:versionID="566bd16bad50fcf51303b3d93cb7a46a">
  <xsd:schema xmlns:xsd="http://www.w3.org/2001/XMLSchema" xmlns:xs="http://www.w3.org/2001/XMLSchema" xmlns:p="http://schemas.microsoft.com/office/2006/metadata/properties" xmlns:ns2="4a882e92-7048-47ff-aed4-640a6993bfb9" xmlns:ns3="b517f410-3b25-4960-9412-354a7c27fc5e" targetNamespace="http://schemas.microsoft.com/office/2006/metadata/properties" ma:root="true" ma:fieldsID="7a518f6e19c0b8391105858540173aa1" ns2:_="" ns3:_="">
    <xsd:import namespace="4a882e92-7048-47ff-aed4-640a6993bfb9"/>
    <xsd:import namespace="b517f410-3b25-4960-9412-354a7c27fc5e"/>
    <xsd:element name="properties">
      <xsd:complexType>
        <xsd:sequence>
          <xsd:element name="documentManagement">
            <xsd:complexType>
              <xsd:all>
                <xsd:element ref="ns2:Business_x0020_Unit"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82e92-7048-47ff-aed4-640a6993bfb9"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restriction base="dms:Choice">
          <xsd:enumeration value="Member Experience"/>
          <xsd:enumeration value="Broker / Third Party"/>
          <xsd:enumeration value="Marketing"/>
          <xsd:enumeration value="Credit Services"/>
          <xsd:enumeration value="Collections"/>
          <xsd:enumeration value="Member Operations"/>
          <xsd:enumeration value="Member Administration"/>
          <xsd:enumeration value="Finance"/>
          <xsd:enumeration value="Risk and Compliance"/>
          <xsd:enumeration value="Talent Management"/>
          <xsd:enumeration value="Technology and Analytics"/>
          <xsd:enumeration value="Corporate Service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BC5D63-B993-4761-995F-C7C7F099C123}"/>
</file>

<file path=customXml/itemProps2.xml><?xml version="1.0" encoding="utf-8"?>
<ds:datastoreItem xmlns:ds="http://schemas.openxmlformats.org/officeDocument/2006/customXml" ds:itemID="{7154E3AC-87E2-4909-BD01-6C81F8139E39}"/>
</file>

<file path=customXml/itemProps3.xml><?xml version="1.0" encoding="utf-8"?>
<ds:datastoreItem xmlns:ds="http://schemas.openxmlformats.org/officeDocument/2006/customXml" ds:itemID="{4D374412-ABB6-4CC7-BE54-BF35889F47B2}"/>
</file>

<file path=docProps/app.xml><?xml version="1.0" encoding="utf-8"?>
<Properties xmlns="http://schemas.openxmlformats.org/officeDocument/2006/extended-properties" xmlns:vt="http://schemas.openxmlformats.org/officeDocument/2006/docPropsVTypes">
  <Application>Microsoft Excel Online</Application>
  <Manager/>
  <Company>Australian Mortgage Securities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dc:creator>
  <cp:keywords/>
  <dc:description/>
  <cp:lastModifiedBy>Scott Todd</cp:lastModifiedBy>
  <cp:revision/>
  <dcterms:created xsi:type="dcterms:W3CDTF">2001-08-19T05:30:08Z</dcterms:created>
  <dcterms:modified xsi:type="dcterms:W3CDTF">2025-02-23T22:49:26Z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0x010100A4A1CA12132BE8438BBB7020BB67AB65</vt:lpwstr>
  </property>
  <property fmtid="{D5CDD505-2E9C-101B-9397-08002B2CF9AE}" pid="3" name="MediaServiceImageTags">
    <vt:lpwstr/>
  </property>
</Properties>
</file>